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loha Lucanska\Moje Dokumenty\Dokumenty\Správy o hosp.a cerp\2018\VSoH\"/>
    </mc:Choice>
  </mc:AlternateContent>
  <bookViews>
    <workbookView xWindow="0" yWindow="0" windowWidth="19200" windowHeight="10860" tabRatio="895" firstSheet="4" activeTab="7"/>
  </bookViews>
  <sheets>
    <sheet name="T1-Dotácie podľa DZ" sheetId="23" r:id="rId1"/>
    <sheet name="T2-Ostatné dot mimo MŠ SR" sheetId="3" r:id="rId2"/>
    <sheet name="T3-Výnosy" sheetId="142" r:id="rId3"/>
    <sheet name="T4-Výnosy zo školného" sheetId="154" r:id="rId4"/>
    <sheet name="T5 - Analýza nákladov" sheetId="150" r:id="rId5"/>
    <sheet name="T6-Zamestnanci_a_mzdy" sheetId="76" r:id="rId6"/>
    <sheet name="T6a-Zamestnanci_a_mzdy (ženy)" sheetId="155" r:id="rId7"/>
    <sheet name="T7_Doktorandi " sheetId="159" r:id="rId8"/>
    <sheet name="T8-Soc_štipendiá" sheetId="109" r:id="rId9"/>
    <sheet name="T9_ŠD " sheetId="116" r:id="rId10"/>
    <sheet name="T10-ŠJ " sheetId="146" r:id="rId11"/>
    <sheet name="T11-Zdroje KV" sheetId="90" r:id="rId12"/>
    <sheet name="T12-KV" sheetId="91" r:id="rId13"/>
    <sheet name="T13-Fondy" sheetId="145" r:id="rId14"/>
    <sheet name="T16 - Štruktúra hotovosti" sheetId="64" r:id="rId15"/>
    <sheet name="T17-Dotácie zo ŠF EU" sheetId="149" r:id="rId16"/>
    <sheet name="T18-Ostatné dotacie z kap MŠ SR" sheetId="61" r:id="rId17"/>
    <sheet name="T19-Štip_ z vlastných " sheetId="144" r:id="rId18"/>
    <sheet name="T20_motivačné štipendiá_nová" sheetId="157" r:id="rId19"/>
    <sheet name="T21-štruktúra_384" sheetId="97" r:id="rId20"/>
    <sheet name="T22_Výnosy_soc_oblasť" sheetId="133" r:id="rId21"/>
    <sheet name="T23_Náklady_soc_oblasť" sheetId="134" r:id="rId22"/>
    <sheet name="T24__Aktíva" sheetId="135" state="hidden" r:id="rId23"/>
  </sheets>
  <externalReferences>
    <externalReference r:id="rId24"/>
    <externalReference r:id="rId25"/>
    <externalReference r:id="rId26"/>
  </externalReferences>
  <definedNames>
    <definedName name="_kmp1" localSheetId="4">#REF!</definedName>
    <definedName name="_kmp1" localSheetId="7">#REF!</definedName>
    <definedName name="_kmp1">#REF!</definedName>
    <definedName name="_kmp2" localSheetId="7">#REF!</definedName>
    <definedName name="_kmp2">#REF!</definedName>
    <definedName name="_kmt1" localSheetId="4">#REF!</definedName>
    <definedName name="_kmt1" localSheetId="7">#REF!</definedName>
    <definedName name="_kmt1">#REF!</definedName>
    <definedName name="_T1" localSheetId="7">#REF!</definedName>
    <definedName name="_T1">#REF!</definedName>
    <definedName name="_wd1" localSheetId="18">[1]vahy!$B$1</definedName>
    <definedName name="_wd1">[1]vahy!$B$1</definedName>
    <definedName name="_wd3" localSheetId="18">[1]vahy!$B$3</definedName>
    <definedName name="_wd3">[1]vahy!$B$3</definedName>
    <definedName name="_we1" localSheetId="18">[1]vahy!$B$2</definedName>
    <definedName name="_we1">[1]vahy!$B$2</definedName>
    <definedName name="_we3" localSheetId="18">[1]vahy!$B$4</definedName>
    <definedName name="_we3">[1]vahy!$B$4</definedName>
    <definedName name="aaa" hidden="1">3</definedName>
    <definedName name="denní" localSheetId="4">#REF!</definedName>
    <definedName name="denní" localSheetId="7">#REF!</definedName>
    <definedName name="denní">#REF!</definedName>
    <definedName name="dokpo" localSheetId="4">#REF!</definedName>
    <definedName name="dokpo" localSheetId="7">#REF!</definedName>
    <definedName name="dokpo">#REF!</definedName>
    <definedName name="dokpred" localSheetId="4">#REF!</definedName>
    <definedName name="dokpred" localSheetId="7">#REF!</definedName>
    <definedName name="dokpred">#REF!</definedName>
    <definedName name="druhý" localSheetId="4">#REF!</definedName>
    <definedName name="druhý" localSheetId="7">#REF!</definedName>
    <definedName name="druhý">#REF!</definedName>
    <definedName name="exterdruhý" localSheetId="4">#REF!</definedName>
    <definedName name="exterdruhý" localSheetId="7">#REF!</definedName>
    <definedName name="exterdruhý">#REF!</definedName>
    <definedName name="externeplat" localSheetId="4">#REF!</definedName>
    <definedName name="externeplat" localSheetId="7">#REF!</definedName>
    <definedName name="externeplat">#REF!</definedName>
    <definedName name="exterplat" localSheetId="4">#REF!</definedName>
    <definedName name="exterplat" localSheetId="7">#REF!</definedName>
    <definedName name="exterplat">#REF!</definedName>
    <definedName name="KKS_doc" localSheetId="4">#REF!</definedName>
    <definedName name="KKS_doc" localSheetId="7">#REF!</definedName>
    <definedName name="KKS_doc">#REF!</definedName>
    <definedName name="KKS_ost" localSheetId="4">#REF!</definedName>
    <definedName name="KKS_ost" localSheetId="7">#REF!</definedName>
    <definedName name="KKS_ost">#REF!</definedName>
    <definedName name="KKS_phd" localSheetId="4">#REF!</definedName>
    <definedName name="KKS_phd" localSheetId="7">#REF!</definedName>
    <definedName name="KKS_phd">#REF!</definedName>
    <definedName name="KKS_prof" localSheetId="4">#REF!</definedName>
    <definedName name="KKS_prof" localSheetId="7">#REF!</definedName>
    <definedName name="KKS_prof">#REF!</definedName>
    <definedName name="koef_gm_mzdy" localSheetId="4">#REF!</definedName>
    <definedName name="koef_gm_mzdy" localSheetId="7">#REF!</definedName>
    <definedName name="koef_gm_mzdy">#REF!</definedName>
    <definedName name="koef_kpn" localSheetId="4">#REF!</definedName>
    <definedName name="koef_kpn" localSheetId="7">#REF!</definedName>
    <definedName name="koef_kpn">#REF!</definedName>
    <definedName name="koef_prer_nad_gm_mzdy" localSheetId="4">#REF!</definedName>
    <definedName name="koef_prer_nad_gm_mzdy" localSheetId="7">#REF!</definedName>
    <definedName name="koef_prer_nad_gm_mzdy">#REF!</definedName>
    <definedName name="koef_PV" localSheetId="4">#REF!</definedName>
    <definedName name="koef_PV" localSheetId="7">#REF!</definedName>
    <definedName name="koef_PV">#REF!</definedName>
    <definedName name="koef_udr_kat1" localSheetId="15">#REF!</definedName>
    <definedName name="koef_udr_kat1" localSheetId="4">#REF!</definedName>
    <definedName name="koef_udr_kat1" localSheetId="6">#REF!</definedName>
    <definedName name="koef_udr_kat1" localSheetId="7">#REF!</definedName>
    <definedName name="koef_udr_kat1">#REF!</definedName>
    <definedName name="koef_udr_kat2" localSheetId="15">#REF!</definedName>
    <definedName name="koef_udr_kat2" localSheetId="4">#REF!</definedName>
    <definedName name="koef_udr_kat2" localSheetId="6">#REF!</definedName>
    <definedName name="koef_udr_kat2" localSheetId="7">#REF!</definedName>
    <definedName name="koef_udr_kat2">#REF!</definedName>
    <definedName name="koef_udr_kat3" localSheetId="15">#REF!</definedName>
    <definedName name="koef_udr_kat3" localSheetId="4">#REF!</definedName>
    <definedName name="koef_udr_kat3" localSheetId="6">#REF!</definedName>
    <definedName name="koef_udr_kat3" localSheetId="7">#REF!</definedName>
    <definedName name="koef_udr_kat3">#REF!</definedName>
    <definedName name="koef_VV" localSheetId="4">#REF!</definedName>
    <definedName name="koef_VV" localSheetId="7">#REF!</definedName>
    <definedName name="koef_VV">#REF!</definedName>
    <definedName name="kpn_ca_do" localSheetId="4">#REF!</definedName>
    <definedName name="kpn_ca_do" localSheetId="7">#REF!</definedName>
    <definedName name="kpn_ca_do">#REF!</definedName>
    <definedName name="kpn_ca_nad" localSheetId="4">#REF!</definedName>
    <definedName name="kpn_ca_nad" localSheetId="7">#REF!</definedName>
    <definedName name="kpn_ca_nad">#REF!</definedName>
    <definedName name="kzk" localSheetId="4">#REF!</definedName>
    <definedName name="kzk" localSheetId="7">#REF!</definedName>
    <definedName name="kzk">#REF!</definedName>
    <definedName name="kzspp" localSheetId="4">#REF!</definedName>
    <definedName name="kzspp" localSheetId="7">#REF!</definedName>
    <definedName name="kzspp">#REF!</definedName>
    <definedName name="nefinanc">1</definedName>
    <definedName name="_xlnm.Print_Area" localSheetId="10">'T10-ŠJ '!$A$1:$D$26</definedName>
    <definedName name="_xlnm.Print_Area" localSheetId="11">'T11-Zdroje KV'!$A$1:$D$23</definedName>
    <definedName name="_xlnm.Print_Area" localSheetId="12">'T12-KV'!$A$1:$L$25</definedName>
    <definedName name="_xlnm.Print_Area" localSheetId="13">'T13-Fondy'!$A$1:$N$22</definedName>
    <definedName name="_xlnm.Print_Area" localSheetId="14">'T16 - Štruktúra hotovosti'!$A$1:$D$22</definedName>
    <definedName name="_xlnm.Print_Area" localSheetId="15">'T17-Dotácie zo ŠF EU'!$A$1:$H$26</definedName>
    <definedName name="_xlnm.Print_Area" localSheetId="16">'T18-Ostatné dotacie z kap MŠ SR'!$A$1:$E$18</definedName>
    <definedName name="_xlnm.Print_Area" localSheetId="17">'T19-Štip_ z vlastných '!$A$1:$F$29</definedName>
    <definedName name="_xlnm.Print_Area" localSheetId="0">'T1-Dotácie podľa DZ'!$A$1:$E$19</definedName>
    <definedName name="_xlnm.Print_Area" localSheetId="18">'T20_motivačné štipendiá_nová'!$A$1:$F$14</definedName>
    <definedName name="_xlnm.Print_Area" localSheetId="19">'T21-štruktúra_384'!$A$1:$M$11</definedName>
    <definedName name="_xlnm.Print_Area" localSheetId="20">T22_Výnosy_soc_oblasť!$A$1:$F$44</definedName>
    <definedName name="_xlnm.Print_Area" localSheetId="21">T23_Náklady_soc_oblasť!$A$1:$F$42</definedName>
    <definedName name="_xlnm.Print_Area" localSheetId="2">'T3-Výnosy'!$A$1:$H$73</definedName>
    <definedName name="_xlnm.Print_Area" localSheetId="3">'T4-Výnosy zo školného'!$A$1:$D$23</definedName>
    <definedName name="_xlnm.Print_Area" localSheetId="4">'T5 - Analýza nákladov'!$A$1:$H$105</definedName>
    <definedName name="_xlnm.Print_Area" localSheetId="6">'T6a-Zamestnanci_a_mzdy (ženy)'!$A$1:$O$37</definedName>
    <definedName name="_xlnm.Print_Area" localSheetId="5">'T6-Zamestnanci_a_mzdy'!$A$1:$N$37</definedName>
    <definedName name="_xlnm.Print_Area" localSheetId="7">'T7_Doktorandi '!$A$1:$E$12</definedName>
    <definedName name="_xlnm.Print_Area" localSheetId="8">'T8-Soc_štipendiá'!$A$1:$F$15</definedName>
    <definedName name="_xlnm.Print_Area" localSheetId="9">'T9_ŠD '!$A$1:$F$21</definedName>
    <definedName name="pocet_jedal" localSheetId="15">#REF!</definedName>
    <definedName name="pocet_jedal" localSheetId="4">#REF!</definedName>
    <definedName name="pocet_jedal" localSheetId="6">#REF!</definedName>
    <definedName name="pocet_jedal" localSheetId="7">#REF!</definedName>
    <definedName name="pocet_jedal">#REF!</definedName>
    <definedName name="podiel" localSheetId="4">#REF!</definedName>
    <definedName name="podiel" localSheetId="7">#REF!</definedName>
    <definedName name="podiel">#REF!</definedName>
    <definedName name="poistné" localSheetId="4">#REF!</definedName>
    <definedName name="poistné" localSheetId="7">#REF!</definedName>
    <definedName name="poistné">#REF!</definedName>
    <definedName name="Pp_DrŠ_exist" localSheetId="15">#REF!</definedName>
    <definedName name="Pp_DrŠ_exist" localSheetId="4">#REF!</definedName>
    <definedName name="Pp_DrŠ_exist" localSheetId="6">#REF!</definedName>
    <definedName name="Pp_DrŠ_exist" localSheetId="7">#REF!</definedName>
    <definedName name="Pp_DrŠ_exist">#REF!</definedName>
    <definedName name="Pp_DrŠ_noví" localSheetId="15">#REF!</definedName>
    <definedName name="Pp_DrŠ_noví" localSheetId="4">#REF!</definedName>
    <definedName name="Pp_DrŠ_noví" localSheetId="6">#REF!</definedName>
    <definedName name="Pp_DrŠ_noví" localSheetId="7">#REF!</definedName>
    <definedName name="Pp_DrŠ_noví">#REF!</definedName>
    <definedName name="Pp_DrŠ_spolu" localSheetId="15">#REF!</definedName>
    <definedName name="Pp_DrŠ_spolu" localSheetId="4">#REF!</definedName>
    <definedName name="Pp_DrŠ_spolu" localSheetId="6">#REF!</definedName>
    <definedName name="Pp_DrŠ_spolu" localSheetId="7">#REF!</definedName>
    <definedName name="Pp_DrŠ_spolu">#REF!</definedName>
    <definedName name="Pp_klinické_TaS" localSheetId="15">#REF!</definedName>
    <definedName name="Pp_klinické_TaS" localSheetId="4">#REF!</definedName>
    <definedName name="Pp_klinické_TaS" localSheetId="6">#REF!</definedName>
    <definedName name="Pp_klinické_TaS" localSheetId="7">#REF!</definedName>
    <definedName name="Pp_klinické_TaS">#REF!</definedName>
    <definedName name="Pp_klinické_TaS_rozpísaný" localSheetId="15">#REF!</definedName>
    <definedName name="Pp_klinické_TaS_rozpísaný" localSheetId="4">#REF!</definedName>
    <definedName name="Pp_klinické_TaS_rozpísaný" localSheetId="6">#REF!</definedName>
    <definedName name="Pp_klinické_TaS_rozpísaný" localSheetId="7">#REF!</definedName>
    <definedName name="Pp_klinické_TaS_rozpísaný">#REF!</definedName>
    <definedName name="Pp_Rozvoj_BD" localSheetId="4">#REF!</definedName>
    <definedName name="Pp_Rozvoj_BD" localSheetId="7">#REF!</definedName>
    <definedName name="Pp_Rozvoj_BD">#REF!</definedName>
    <definedName name="Pp_Soc_BD" localSheetId="4">#REF!</definedName>
    <definedName name="Pp_Soc_BD" localSheetId="7">#REF!</definedName>
    <definedName name="Pp_Soc_BD">#REF!</definedName>
    <definedName name="Pp_VaT_BD" localSheetId="4">#REF!</definedName>
    <definedName name="Pp_VaT_BD" localSheetId="7">#REF!</definedName>
    <definedName name="Pp_VaT_BD">#REF!</definedName>
    <definedName name="Pp_VaT_mzdy" localSheetId="4">#REF!</definedName>
    <definedName name="Pp_VaT_mzdy" localSheetId="7">#REF!</definedName>
    <definedName name="Pp_VaT_mzdy">#REF!</definedName>
    <definedName name="Pp_VaT_mzdy_rezerva" localSheetId="4">#REF!</definedName>
    <definedName name="Pp_VaT_mzdy_rezerva" localSheetId="7">#REF!</definedName>
    <definedName name="Pp_VaT_mzdy_rezerva">#REF!</definedName>
    <definedName name="Pp_VaT_mzdy_zac_roka" localSheetId="4">#REF!</definedName>
    <definedName name="Pp_VaT_mzdy_zac_roka" localSheetId="7">#REF!</definedName>
    <definedName name="Pp_VaT_mzdy_zac_roka">#REF!</definedName>
    <definedName name="Pp_Vzdel_BD" localSheetId="4">#REF!</definedName>
    <definedName name="Pp_Vzdel_BD" localSheetId="7">#REF!</definedName>
    <definedName name="Pp_Vzdel_BD">#REF!</definedName>
    <definedName name="Pp_Vzdel_mzdy" localSheetId="4">#REF!</definedName>
    <definedName name="Pp_Vzdel_mzdy" localSheetId="7">#REF!</definedName>
    <definedName name="Pp_Vzdel_mzdy">#REF!</definedName>
    <definedName name="Pp_Vzdel_mzdy_kontr" localSheetId="4">#REF!</definedName>
    <definedName name="Pp_Vzdel_mzdy_kontr" localSheetId="7">#REF!</definedName>
    <definedName name="Pp_Vzdel_mzdy_kontr">#REF!</definedName>
    <definedName name="Pp_Vzdel_mzdy_na_prer_modif" localSheetId="15">#REF!</definedName>
    <definedName name="Pp_Vzdel_mzdy_na_prer_modif" localSheetId="4">#REF!</definedName>
    <definedName name="Pp_Vzdel_mzdy_na_prer_modif" localSheetId="6">#REF!</definedName>
    <definedName name="Pp_Vzdel_mzdy_na_prer_modif" localSheetId="7">#REF!</definedName>
    <definedName name="Pp_Vzdel_mzdy_na_prer_modif">#REF!</definedName>
    <definedName name="Pp_Vzdel_mzdy_na_prer_nemodif" localSheetId="15">#REF!</definedName>
    <definedName name="Pp_Vzdel_mzdy_na_prer_nemodif" localSheetId="4">#REF!</definedName>
    <definedName name="Pp_Vzdel_mzdy_na_prer_nemodif" localSheetId="6">#REF!</definedName>
    <definedName name="Pp_Vzdel_mzdy_na_prer_nemodif" localSheetId="7">#REF!</definedName>
    <definedName name="Pp_Vzdel_mzdy_na_prer_nemodif">#REF!</definedName>
    <definedName name="Pp_Vzdel_mzdy_prevádz" localSheetId="4">#REF!</definedName>
    <definedName name="Pp_Vzdel_mzdy_prevádz" localSheetId="7">#REF!</definedName>
    <definedName name="Pp_Vzdel_mzdy_prevádz">#REF!</definedName>
    <definedName name="Pp_Vzdel_mzdy_rezerva" localSheetId="4">#REF!</definedName>
    <definedName name="Pp_Vzdel_mzdy_rezerva" localSheetId="7">#REF!</definedName>
    <definedName name="Pp_Vzdel_mzdy_rezerva">#REF!</definedName>
    <definedName name="Pp_Vzdel_mzdy_spec" localSheetId="4">#REF!</definedName>
    <definedName name="Pp_Vzdel_mzdy_spec" localSheetId="7">#REF!</definedName>
    <definedName name="Pp_Vzdel_mzdy_spec">#REF!</definedName>
    <definedName name="Pp_Vzdel_mzdy_výkon" localSheetId="4">#REF!</definedName>
    <definedName name="Pp_Vzdel_mzdy_výkon" localSheetId="7">#REF!</definedName>
    <definedName name="Pp_Vzdel_mzdy_výkon">#REF!</definedName>
    <definedName name="Pp_Vzdel_mzdy_výkon_PV" localSheetId="4">#REF!</definedName>
    <definedName name="Pp_Vzdel_mzdy_výkon_PV" localSheetId="7">#REF!</definedName>
    <definedName name="Pp_Vzdel_mzdy_výkon_PV">#REF!</definedName>
    <definedName name="Pp_Vzdel_mzdy_výkon_PV_bez" localSheetId="4">#REF!</definedName>
    <definedName name="Pp_Vzdel_mzdy_výkon_PV_bez" localSheetId="7">#REF!</definedName>
    <definedName name="Pp_Vzdel_mzdy_výkon_PV_bez">#REF!</definedName>
    <definedName name="Pp_Vzdel_mzdy_výkon_PV_um" localSheetId="4">#REF!</definedName>
    <definedName name="Pp_Vzdel_mzdy_výkon_PV_um" localSheetId="7">#REF!</definedName>
    <definedName name="Pp_Vzdel_mzdy_výkon_PV_um">#REF!</definedName>
    <definedName name="Pp_Vzdel_mzdy_výkon_VV" localSheetId="4">#REF!</definedName>
    <definedName name="Pp_Vzdel_mzdy_výkon_VV" localSheetId="7">#REF!</definedName>
    <definedName name="Pp_Vzdel_mzdy_výkon_VV">#REF!</definedName>
    <definedName name="Pp_Vzdel_mzdy_výkon_VV_bez" localSheetId="4">#REF!</definedName>
    <definedName name="Pp_Vzdel_mzdy_výkon_VV_bez" localSheetId="7">#REF!</definedName>
    <definedName name="Pp_Vzdel_mzdy_výkon_VV_bez">#REF!</definedName>
    <definedName name="Pp_Vzdel_mzdy_výkon_VV_um" localSheetId="4">#REF!</definedName>
    <definedName name="Pp_Vzdel_mzdy_výkon_VV_um" localSheetId="7">#REF!</definedName>
    <definedName name="Pp_Vzdel_mzdy_výkon_VV_um">#REF!</definedName>
    <definedName name="Pp_Vzdel_spec_prax" localSheetId="15">#REF!</definedName>
    <definedName name="Pp_Vzdel_spec_prax" localSheetId="4">#REF!</definedName>
    <definedName name="Pp_Vzdel_spec_prax" localSheetId="6">#REF!</definedName>
    <definedName name="Pp_Vzdel_spec_prax" localSheetId="7">#REF!</definedName>
    <definedName name="Pp_Vzdel_spec_prax">#REF!</definedName>
    <definedName name="Pp_Vzdel_TaS" localSheetId="4">#REF!</definedName>
    <definedName name="Pp_Vzdel_TaS" localSheetId="7">#REF!</definedName>
    <definedName name="Pp_Vzdel_TaS">#REF!</definedName>
    <definedName name="Pp_Vzdel_TaS_rezerva" localSheetId="4">#REF!</definedName>
    <definedName name="Pp_Vzdel_TaS_rezerva" localSheetId="7">#REF!</definedName>
    <definedName name="Pp_Vzdel_TaS_rezerva">#REF!</definedName>
    <definedName name="Pp_Vzdel_TaS_spec" localSheetId="15">#REF!</definedName>
    <definedName name="Pp_Vzdel_TaS_spec" localSheetId="4">#REF!</definedName>
    <definedName name="Pp_Vzdel_TaS_spec" localSheetId="6">#REF!</definedName>
    <definedName name="Pp_Vzdel_TaS_spec" localSheetId="7">#REF!</definedName>
    <definedName name="Pp_Vzdel_TaS_spec">#REF!</definedName>
    <definedName name="Pp_Vzdel_TaS_stav" localSheetId="4">#REF!</definedName>
    <definedName name="Pp_Vzdel_TaS_stav" localSheetId="7">#REF!</definedName>
    <definedName name="Pp_Vzdel_TaS_stav">#REF!</definedName>
    <definedName name="Pp_Vzdel_TaS_výkon" localSheetId="15">#REF!</definedName>
    <definedName name="Pp_Vzdel_TaS_výkon" localSheetId="4">#REF!</definedName>
    <definedName name="Pp_Vzdel_TaS_výkon" localSheetId="6">#REF!</definedName>
    <definedName name="Pp_Vzdel_TaS_výkon" localSheetId="7">#REF!</definedName>
    <definedName name="Pp_Vzdel_TaS_výkon">#REF!</definedName>
    <definedName name="Pp_Vzdel_TaS_výkon_PPŠ" localSheetId="15">#REF!</definedName>
    <definedName name="Pp_Vzdel_TaS_výkon_PPŠ" localSheetId="4">#REF!</definedName>
    <definedName name="Pp_Vzdel_TaS_výkon_PPŠ" localSheetId="6">#REF!</definedName>
    <definedName name="Pp_Vzdel_TaS_výkon_PPŠ" localSheetId="7">#REF!</definedName>
    <definedName name="Pp_Vzdel_TaS_výkon_PPŠ">#REF!</definedName>
    <definedName name="Pp_Vzdel_TaS_výkon_PPŠ_a_zákl" localSheetId="15">#REF!</definedName>
    <definedName name="Pp_Vzdel_TaS_výkon_PPŠ_a_zákl" localSheetId="4">#REF!</definedName>
    <definedName name="Pp_Vzdel_TaS_výkon_PPŠ_a_zákl" localSheetId="6">#REF!</definedName>
    <definedName name="Pp_Vzdel_TaS_výkon_PPŠ_a_zákl" localSheetId="7">#REF!</definedName>
    <definedName name="Pp_Vzdel_TaS_výkon_PPŠ_a_zákl">#REF!</definedName>
    <definedName name="Pp_Vzdel_TaS_výkon_PPŠ_KEN" localSheetId="15">#REF!</definedName>
    <definedName name="Pp_Vzdel_TaS_výkon_PPŠ_KEN" localSheetId="4">#REF!</definedName>
    <definedName name="Pp_Vzdel_TaS_výkon_PPŠ_KEN" localSheetId="6">#REF!</definedName>
    <definedName name="Pp_Vzdel_TaS_výkon_PPŠ_KEN" localSheetId="7">#REF!</definedName>
    <definedName name="Pp_Vzdel_TaS_výkon_PPŠ_KEN">#REF!</definedName>
    <definedName name="Pp_Vzdel_TaS_zahr_granty" localSheetId="4">#REF!</definedName>
    <definedName name="Pp_Vzdel_TaS_zahr_granty" localSheetId="7">#REF!</definedName>
    <definedName name="Pp_Vzdel_TaS_zahr_granty">#REF!</definedName>
    <definedName name="Pp_Vzdel_TaS_zákl" localSheetId="15">#REF!</definedName>
    <definedName name="Pp_Vzdel_TaS_zákl" localSheetId="4">#REF!</definedName>
    <definedName name="Pp_Vzdel_TaS_zákl" localSheetId="6">#REF!</definedName>
    <definedName name="Pp_Vzdel_TaS_zákl" localSheetId="7">#REF!</definedName>
    <definedName name="Pp_Vzdel_TaS_zákl">#REF!</definedName>
    <definedName name="Pr_AV_BD" localSheetId="4">#REF!</definedName>
    <definedName name="Pr_AV_BD" localSheetId="7">#REF!</definedName>
    <definedName name="Pr_AV_BD">#REF!</definedName>
    <definedName name="Pr_IV_BD" localSheetId="4">#REF!</definedName>
    <definedName name="Pr_IV_BD" localSheetId="7">#REF!</definedName>
    <definedName name="Pr_IV_BD">#REF!</definedName>
    <definedName name="Pr_IV_KV" localSheetId="4">#REF!</definedName>
    <definedName name="Pr_IV_KV" localSheetId="7">#REF!</definedName>
    <definedName name="Pr_IV_KV">#REF!</definedName>
    <definedName name="Pr_IV_KV_rezerva" localSheetId="4">#REF!</definedName>
    <definedName name="Pr_IV_KV_rezerva" localSheetId="7">#REF!</definedName>
    <definedName name="Pr_IV_KV_rezerva">#REF!</definedName>
    <definedName name="Pr_KEGA_BD" localSheetId="4">#REF!</definedName>
    <definedName name="Pr_KEGA_BD" localSheetId="7">#REF!</definedName>
    <definedName name="Pr_KEGA_BD">#REF!</definedName>
    <definedName name="Pr_klinické" localSheetId="4">#REF!</definedName>
    <definedName name="Pr_klinické" localSheetId="7">#REF!</definedName>
    <definedName name="Pr_klinické">#REF!</definedName>
    <definedName name="Pr_KŠ" localSheetId="15">#REF!</definedName>
    <definedName name="Pr_KŠ" localSheetId="4">#REF!</definedName>
    <definedName name="Pr_KŠ" localSheetId="6">#REF!</definedName>
    <definedName name="Pr_KŠ" localSheetId="7">#REF!</definedName>
    <definedName name="Pr_KŠ">#REF!</definedName>
    <definedName name="Pr_motštip_BD" localSheetId="4">#REF!</definedName>
    <definedName name="Pr_motštip_BD" localSheetId="7">#REF!</definedName>
    <definedName name="Pr_motštip_BD">#REF!</definedName>
    <definedName name="Pr_MVTS_BD" localSheetId="4">#REF!</definedName>
    <definedName name="Pr_MVTS_BD" localSheetId="7">#REF!</definedName>
    <definedName name="Pr_MVTS_BD">#REF!</definedName>
    <definedName name="Pr_socštip_BD" localSheetId="4">#REF!</definedName>
    <definedName name="Pr_socštip_BD" localSheetId="7">#REF!</definedName>
    <definedName name="Pr_socštip_BD">#REF!</definedName>
    <definedName name="Pr_ŠD" localSheetId="15">#REF!</definedName>
    <definedName name="Pr_ŠD" localSheetId="4">#REF!</definedName>
    <definedName name="Pr_ŠD" localSheetId="6">#REF!</definedName>
    <definedName name="Pr_ŠD" localSheetId="7">#REF!</definedName>
    <definedName name="Pr_ŠD">#REF!</definedName>
    <definedName name="Pr_ŠDaJKŠPC_BD" localSheetId="4">#REF!</definedName>
    <definedName name="Pr_ŠDaJKŠPC_BD" localSheetId="7">#REF!</definedName>
    <definedName name="Pr_ŠDaJKŠPC_BD">#REF!</definedName>
    <definedName name="Pr_VaT_KV_zac_roka" localSheetId="4">#REF!</definedName>
    <definedName name="Pr_VaT_KV_zac_roka" localSheetId="7">#REF!</definedName>
    <definedName name="Pr_VaT_KV_zac_roka">#REF!</definedName>
    <definedName name="Pr_VaT_TaS" localSheetId="4">#REF!</definedName>
    <definedName name="Pr_VaT_TaS" localSheetId="7">#REF!</definedName>
    <definedName name="Pr_VaT_TaS">#REF!</definedName>
    <definedName name="Pr_VaT_TaS_rezerva" localSheetId="4">#REF!</definedName>
    <definedName name="Pr_VaT_TaS_rezerva" localSheetId="7">#REF!</definedName>
    <definedName name="Pr_VaT_TaS_rezerva">#REF!</definedName>
    <definedName name="Pr_VaT_TaS_zac_roka" localSheetId="4">#REF!</definedName>
    <definedName name="Pr_VaT_TaS_zac_roka" localSheetId="7">#REF!</definedName>
    <definedName name="Pr_VaT_TaS_zac_roka">#REF!</definedName>
    <definedName name="Pr_VEGA_BD" localSheetId="4">#REF!</definedName>
    <definedName name="Pr_VEGA_BD" localSheetId="7">#REF!</definedName>
    <definedName name="Pr_VEGA_BD">#REF!</definedName>
    <definedName name="predmety" localSheetId="4">#REF!</definedName>
    <definedName name="predmety" localSheetId="7">#REF!</definedName>
    <definedName name="predmety">#REF!</definedName>
    <definedName name="prisp_na_1_jedlo" localSheetId="15">#REF!</definedName>
    <definedName name="prisp_na_1_jedlo" localSheetId="4">#REF!</definedName>
    <definedName name="prisp_na_1_jedlo" localSheetId="6">#REF!</definedName>
    <definedName name="prisp_na_1_jedlo" localSheetId="7">#REF!</definedName>
    <definedName name="prisp_na_1_jedlo">#REF!</definedName>
    <definedName name="prisp_na_ubyt_stud_SD" localSheetId="15">#REF!</definedName>
    <definedName name="prisp_na_ubyt_stud_SD" localSheetId="4">#REF!</definedName>
    <definedName name="prisp_na_ubyt_stud_SD" localSheetId="6">#REF!</definedName>
    <definedName name="prisp_na_ubyt_stud_SD" localSheetId="7">#REF!</definedName>
    <definedName name="prisp_na_ubyt_stud_SD">#REF!</definedName>
    <definedName name="prisp_na_ubyt_stud_ZZ" localSheetId="15">#REF!</definedName>
    <definedName name="prisp_na_ubyt_stud_ZZ" localSheetId="4">#REF!</definedName>
    <definedName name="prisp_na_ubyt_stud_ZZ" localSheetId="6">#REF!</definedName>
    <definedName name="prisp_na_ubyt_stud_ZZ" localSheetId="7">#REF!</definedName>
    <definedName name="prisp_na_ubyt_stud_ZZ">#REF!</definedName>
    <definedName name="prísp_zákl_prev" localSheetId="4">#REF!</definedName>
    <definedName name="prísp_zákl_prev" localSheetId="7">#REF!</definedName>
    <definedName name="prísp_zákl_prev">#REF!</definedName>
    <definedName name="R_vvs" localSheetId="4">#REF!</definedName>
    <definedName name="R_vvs" localSheetId="7">#REF!</definedName>
    <definedName name="R_vvs">#REF!</definedName>
    <definedName name="R_vvs_BD" localSheetId="4">#REF!</definedName>
    <definedName name="R_vvs_BD" localSheetId="7">#REF!</definedName>
    <definedName name="R_vvs_BD">#REF!</definedName>
    <definedName name="R_vvs_VaT_BD" localSheetId="4">#REF!</definedName>
    <definedName name="R_vvs_VaT_BD" localSheetId="7">#REF!</definedName>
    <definedName name="R_vvs_VaT_BD">#REF!</definedName>
    <definedName name="Sanet" localSheetId="4">#REF!</definedName>
    <definedName name="Sanet" localSheetId="7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 localSheetId="4">#REF!</definedName>
    <definedName name="stavba_ucelova" localSheetId="7">#REF!</definedName>
    <definedName name="stavba_ucelova">#REF!</definedName>
    <definedName name="studenti_vstup" localSheetId="4">#REF!</definedName>
    <definedName name="studenti_vstup" localSheetId="7">#REF!</definedName>
    <definedName name="studenti_vstup">#REF!</definedName>
    <definedName name="sustava" localSheetId="4">#REF!</definedName>
    <definedName name="sustava" localSheetId="7">#REF!</definedName>
    <definedName name="sustava">#REF!</definedName>
    <definedName name="T_1" localSheetId="7">#REF!</definedName>
    <definedName name="T_1">#REF!</definedName>
    <definedName name="T_25_so_štip_2007" localSheetId="7">#REF!</definedName>
    <definedName name="T_25_so_štip_2007">#REF!</definedName>
    <definedName name="T_M" localSheetId="7">#REF!</definedName>
    <definedName name="T_M">#REF!</definedName>
    <definedName name="váha_absDrš" localSheetId="4">#REF!</definedName>
    <definedName name="váha_absDrš" localSheetId="7">#REF!</definedName>
    <definedName name="váha_absDrš">#REF!</definedName>
    <definedName name="váha_DG" localSheetId="4">#REF!</definedName>
    <definedName name="váha_DG" localSheetId="7">#REF!</definedName>
    <definedName name="váha_DG">#REF!</definedName>
    <definedName name="váha_poDs" localSheetId="4">#REF!</definedName>
    <definedName name="váha_poDs" localSheetId="7">#REF!</definedName>
    <definedName name="váha_poDs">#REF!</definedName>
    <definedName name="váha_Pub" localSheetId="4">#REF!</definedName>
    <definedName name="váha_Pub" localSheetId="7">#REF!</definedName>
    <definedName name="váha_Pub">#REF!</definedName>
    <definedName name="váha_ZG" localSheetId="4">#REF!</definedName>
    <definedName name="váha_ZG" localSheetId="7">#REF!</definedName>
    <definedName name="váha_ZG">#REF!</definedName>
    <definedName name="výkon_um" localSheetId="4">#REF!</definedName>
    <definedName name="výkon_um" localSheetId="7">#REF!</definedName>
    <definedName name="výkon_um">#REF!</definedName>
    <definedName name="x" localSheetId="7">#REF!</definedName>
    <definedName name="x">#REF!</definedName>
    <definedName name="xxx" hidden="1">"3TGMUFSSIAIMK2KTNC9DELQD0"</definedName>
    <definedName name="zakl_prisp_na_prev_SD" localSheetId="15">#REF!</definedName>
    <definedName name="zakl_prisp_na_prev_SD" localSheetId="4">#REF!</definedName>
    <definedName name="zakl_prisp_na_prev_SD" localSheetId="6">#REF!</definedName>
    <definedName name="zakl_prisp_na_prev_SD" localSheetId="7">#REF!</definedName>
    <definedName name="zakl_prisp_na_prev_SD">#REF!</definedName>
    <definedName name="záloha" localSheetId="15">#REF!</definedName>
    <definedName name="záloha" localSheetId="4">#REF!</definedName>
    <definedName name="záloha" localSheetId="6">#REF!</definedName>
    <definedName name="záloha" localSheetId="7">#REF!</definedName>
    <definedName name="záloha">#REF!</definedName>
  </definedNames>
  <calcPr calcId="162913"/>
</workbook>
</file>

<file path=xl/calcChain.xml><?xml version="1.0" encoding="utf-8"?>
<calcChain xmlns="http://schemas.openxmlformats.org/spreadsheetml/2006/main">
  <c r="L24" i="155" l="1"/>
  <c r="J24" i="155"/>
  <c r="F24" i="155"/>
  <c r="K24" i="155" s="1"/>
  <c r="J24" i="76"/>
  <c r="F24" i="76"/>
  <c r="K24" i="76" s="1"/>
  <c r="D5" i="159" l="1"/>
  <c r="E82" i="150" l="1"/>
  <c r="E85" i="150"/>
  <c r="E30" i="133" l="1"/>
  <c r="E34" i="134" l="1"/>
  <c r="D34" i="134"/>
  <c r="D28" i="134"/>
  <c r="E11" i="134"/>
  <c r="E24" i="133"/>
  <c r="D24" i="133"/>
  <c r="E23" i="133"/>
  <c r="D23" i="133"/>
  <c r="F9" i="145"/>
  <c r="D15" i="154" l="1"/>
  <c r="C12" i="64" l="1"/>
  <c r="C19" i="64"/>
  <c r="C14" i="116" l="1"/>
  <c r="C10" i="146" l="1"/>
  <c r="D17" i="90" l="1"/>
  <c r="C15" i="3" l="1"/>
  <c r="E22" i="3"/>
  <c r="E21" i="3"/>
  <c r="C11" i="109"/>
  <c r="E20" i="91"/>
  <c r="E19" i="91"/>
  <c r="D16" i="90" l="1"/>
  <c r="D15" i="90"/>
  <c r="H6" i="97" l="1"/>
  <c r="I6" i="97"/>
  <c r="C5" i="3"/>
  <c r="E9" i="3"/>
  <c r="E28" i="3" l="1"/>
  <c r="E29" i="3"/>
  <c r="E30" i="3"/>
  <c r="E31" i="3"/>
  <c r="E32" i="3"/>
  <c r="E33" i="3"/>
  <c r="C27" i="3"/>
  <c r="E27" i="3" s="1"/>
  <c r="C24" i="3" l="1"/>
  <c r="E8" i="3" l="1"/>
  <c r="E18" i="3"/>
  <c r="E19" i="3"/>
  <c r="E20" i="3"/>
  <c r="D6" i="23" l="1"/>
  <c r="D31" i="142" l="1"/>
  <c r="E31" i="142"/>
  <c r="F31" i="142"/>
  <c r="C31" i="142"/>
  <c r="D10" i="91" l="1"/>
  <c r="E10" i="91"/>
  <c r="E23" i="91" s="1"/>
  <c r="F10" i="91"/>
  <c r="F23" i="91" s="1"/>
  <c r="G10" i="91"/>
  <c r="G23" i="91" s="1"/>
  <c r="H10" i="91"/>
  <c r="H23" i="91" s="1"/>
  <c r="I11" i="91"/>
  <c r="I12" i="91"/>
  <c r="I13" i="91"/>
  <c r="I14" i="91"/>
  <c r="I15" i="91"/>
  <c r="C10" i="91"/>
  <c r="C23" i="91" s="1"/>
  <c r="D25" i="142"/>
  <c r="H25" i="142" s="1"/>
  <c r="E25" i="142"/>
  <c r="F25" i="142"/>
  <c r="C25" i="142"/>
  <c r="C39" i="142"/>
  <c r="D55" i="142"/>
  <c r="E55" i="142"/>
  <c r="F55" i="142"/>
  <c r="C55" i="142"/>
  <c r="G55" i="142" s="1"/>
  <c r="G28" i="142"/>
  <c r="H28" i="142"/>
  <c r="D22" i="144"/>
  <c r="E22" i="144"/>
  <c r="F22" i="144"/>
  <c r="C22" i="144"/>
  <c r="I22" i="91"/>
  <c r="D23" i="91"/>
  <c r="H25" i="149"/>
  <c r="G25" i="149"/>
  <c r="H24" i="149"/>
  <c r="G24" i="149"/>
  <c r="H23" i="149"/>
  <c r="G23" i="149"/>
  <c r="H22" i="149"/>
  <c r="G22" i="149"/>
  <c r="H21" i="149"/>
  <c r="G21" i="149"/>
  <c r="H20" i="149"/>
  <c r="G20" i="149"/>
  <c r="H19" i="149"/>
  <c r="G18" i="149"/>
  <c r="F17" i="149"/>
  <c r="F16" i="149" s="1"/>
  <c r="E17" i="149"/>
  <c r="E16" i="149" s="1"/>
  <c r="D17" i="149"/>
  <c r="C17" i="149"/>
  <c r="C16" i="149" s="1"/>
  <c r="A17" i="149"/>
  <c r="H14" i="149"/>
  <c r="G13" i="149"/>
  <c r="F12" i="149"/>
  <c r="E12" i="149"/>
  <c r="D12" i="149"/>
  <c r="C12" i="149"/>
  <c r="H11" i="149"/>
  <c r="G10" i="149"/>
  <c r="F9" i="149"/>
  <c r="E9" i="149"/>
  <c r="D9" i="149"/>
  <c r="C9" i="149"/>
  <c r="G9" i="149" s="1"/>
  <c r="H8" i="149"/>
  <c r="A8" i="149"/>
  <c r="A9" i="149" s="1"/>
  <c r="A10" i="149" s="1"/>
  <c r="A11" i="149" s="1"/>
  <c r="G7" i="149"/>
  <c r="F6" i="149"/>
  <c r="E6" i="149"/>
  <c r="D6" i="149"/>
  <c r="C6" i="149"/>
  <c r="G6" i="149" s="1"/>
  <c r="G48" i="142"/>
  <c r="H48" i="142"/>
  <c r="D5" i="154"/>
  <c r="C5" i="154"/>
  <c r="G36" i="142"/>
  <c r="H36" i="142"/>
  <c r="G37" i="142"/>
  <c r="H37" i="142"/>
  <c r="G31" i="142"/>
  <c r="H31" i="142"/>
  <c r="H38" i="142"/>
  <c r="G38" i="142"/>
  <c r="E6" i="159"/>
  <c r="E7" i="159"/>
  <c r="D7" i="159"/>
  <c r="C7" i="159"/>
  <c r="E5" i="159"/>
  <c r="D9" i="157"/>
  <c r="F6" i="157" s="1"/>
  <c r="F9" i="157" s="1"/>
  <c r="C5" i="64"/>
  <c r="C22" i="64" s="1"/>
  <c r="D19" i="144"/>
  <c r="E19" i="144"/>
  <c r="F19" i="144"/>
  <c r="D16" i="144"/>
  <c r="E16" i="144"/>
  <c r="F16" i="144"/>
  <c r="D13" i="144"/>
  <c r="E13" i="144"/>
  <c r="F13" i="144"/>
  <c r="D10" i="144"/>
  <c r="E10" i="144"/>
  <c r="F10" i="144"/>
  <c r="D7" i="144"/>
  <c r="E7" i="144"/>
  <c r="F7" i="144"/>
  <c r="E6" i="23"/>
  <c r="E14" i="23"/>
  <c r="E16" i="23"/>
  <c r="E17" i="23"/>
  <c r="E18" i="23"/>
  <c r="E8" i="23"/>
  <c r="E9" i="23"/>
  <c r="E10" i="23"/>
  <c r="E11" i="23"/>
  <c r="E12" i="23"/>
  <c r="D7" i="23"/>
  <c r="C7" i="23"/>
  <c r="E7" i="23" s="1"/>
  <c r="G64" i="142"/>
  <c r="H64" i="142"/>
  <c r="G66" i="142"/>
  <c r="H66" i="142"/>
  <c r="G87" i="150"/>
  <c r="H87" i="150"/>
  <c r="G56" i="142"/>
  <c r="G57" i="142"/>
  <c r="G58" i="142"/>
  <c r="G59" i="142"/>
  <c r="G60" i="142"/>
  <c r="G61" i="142"/>
  <c r="G62" i="142"/>
  <c r="G7" i="142"/>
  <c r="H7" i="142"/>
  <c r="G8" i="142"/>
  <c r="H8" i="142"/>
  <c r="G9" i="142"/>
  <c r="H9" i="142"/>
  <c r="G10" i="142"/>
  <c r="H10" i="142"/>
  <c r="G12" i="142"/>
  <c r="H12" i="142"/>
  <c r="G13" i="142"/>
  <c r="H13" i="142"/>
  <c r="G14" i="142"/>
  <c r="H14" i="142"/>
  <c r="G15" i="142"/>
  <c r="H15" i="142"/>
  <c r="G16" i="142"/>
  <c r="H16" i="142"/>
  <c r="G17" i="142"/>
  <c r="H17" i="142"/>
  <c r="G18" i="142"/>
  <c r="H18" i="142"/>
  <c r="G19" i="142"/>
  <c r="H19" i="142"/>
  <c r="G20" i="142"/>
  <c r="G22" i="142"/>
  <c r="H22" i="142"/>
  <c r="G23" i="142"/>
  <c r="H23" i="142"/>
  <c r="G24" i="142"/>
  <c r="H24" i="142"/>
  <c r="G26" i="142"/>
  <c r="H26" i="142"/>
  <c r="G27" i="142"/>
  <c r="H27" i="142"/>
  <c r="G29" i="142"/>
  <c r="H29" i="142"/>
  <c r="G30" i="142"/>
  <c r="H30" i="142"/>
  <c r="G32" i="142"/>
  <c r="H32" i="142"/>
  <c r="G33" i="142"/>
  <c r="H33" i="142"/>
  <c r="G34" i="142"/>
  <c r="H34" i="142"/>
  <c r="G35" i="142"/>
  <c r="H35" i="142"/>
  <c r="G40" i="142"/>
  <c r="H40" i="142"/>
  <c r="G41" i="142"/>
  <c r="H41" i="142"/>
  <c r="G42" i="142"/>
  <c r="H42" i="142"/>
  <c r="G43" i="142"/>
  <c r="H43" i="142"/>
  <c r="G44" i="142"/>
  <c r="H44" i="142"/>
  <c r="G45" i="142"/>
  <c r="H45" i="142"/>
  <c r="G46" i="142"/>
  <c r="H46" i="142"/>
  <c r="G47" i="142"/>
  <c r="H47" i="142"/>
  <c r="G49" i="142"/>
  <c r="H49" i="142"/>
  <c r="G50" i="142"/>
  <c r="H50" i="142"/>
  <c r="G51" i="142"/>
  <c r="H51" i="142"/>
  <c r="G52" i="142"/>
  <c r="H52" i="142"/>
  <c r="G53" i="142"/>
  <c r="H53" i="142"/>
  <c r="G54" i="142"/>
  <c r="H54" i="142"/>
  <c r="H61" i="142"/>
  <c r="H62" i="142"/>
  <c r="G63" i="142"/>
  <c r="H63" i="142"/>
  <c r="G65" i="142"/>
  <c r="H65" i="142"/>
  <c r="G67" i="142"/>
  <c r="H67" i="142"/>
  <c r="G68" i="142"/>
  <c r="H68" i="142"/>
  <c r="G69" i="142"/>
  <c r="H69" i="142"/>
  <c r="D6" i="142"/>
  <c r="H6" i="142" s="1"/>
  <c r="E6" i="142"/>
  <c r="F6" i="142"/>
  <c r="D11" i="142"/>
  <c r="E11" i="142"/>
  <c r="F11" i="142"/>
  <c r="D21" i="142"/>
  <c r="E21" i="142"/>
  <c r="F21" i="142"/>
  <c r="H21" i="142" s="1"/>
  <c r="D39" i="142"/>
  <c r="E39" i="142"/>
  <c r="F39" i="142"/>
  <c r="H39" i="142" s="1"/>
  <c r="G25" i="142"/>
  <c r="C7" i="144"/>
  <c r="C10" i="144"/>
  <c r="C16" i="144"/>
  <c r="C19" i="144"/>
  <c r="C13" i="144"/>
  <c r="G98" i="150"/>
  <c r="H98" i="150"/>
  <c r="C9" i="157"/>
  <c r="E6" i="157" s="1"/>
  <c r="E9" i="157" s="1"/>
  <c r="D18" i="154"/>
  <c r="C18" i="154"/>
  <c r="J29" i="155"/>
  <c r="F29" i="155"/>
  <c r="J28" i="155"/>
  <c r="F28" i="155"/>
  <c r="K28" i="155" s="1"/>
  <c r="F27" i="155"/>
  <c r="F22" i="155" s="1"/>
  <c r="K22" i="155" s="1"/>
  <c r="J26" i="155"/>
  <c r="F26" i="155"/>
  <c r="K26" i="155"/>
  <c r="J25" i="155"/>
  <c r="F25" i="155"/>
  <c r="K25" i="155" s="1"/>
  <c r="J23" i="155"/>
  <c r="F23" i="155"/>
  <c r="I22" i="155"/>
  <c r="H22" i="155"/>
  <c r="G22" i="155"/>
  <c r="E22" i="155"/>
  <c r="D22" i="155"/>
  <c r="C22" i="155"/>
  <c r="J21" i="155"/>
  <c r="F21" i="155"/>
  <c r="J20" i="155"/>
  <c r="F20" i="155"/>
  <c r="K20" i="155" s="1"/>
  <c r="J19" i="155"/>
  <c r="F19" i="155"/>
  <c r="J18" i="155"/>
  <c r="F18" i="155"/>
  <c r="K18" i="155" s="1"/>
  <c r="J17" i="155"/>
  <c r="F17" i="155"/>
  <c r="I16" i="155"/>
  <c r="H16" i="155"/>
  <c r="G16" i="155"/>
  <c r="J16" i="155" s="1"/>
  <c r="E16" i="155"/>
  <c r="D16" i="155"/>
  <c r="C16" i="155"/>
  <c r="F16" i="155" s="1"/>
  <c r="K16" i="155" s="1"/>
  <c r="J15" i="155"/>
  <c r="F15" i="155"/>
  <c r="J13" i="155"/>
  <c r="F13" i="155"/>
  <c r="J12" i="155"/>
  <c r="F12" i="155"/>
  <c r="J11" i="155"/>
  <c r="F11" i="155"/>
  <c r="J10" i="155"/>
  <c r="F10" i="155"/>
  <c r="J9" i="155"/>
  <c r="F9" i="155"/>
  <c r="J8" i="155"/>
  <c r="F8" i="155"/>
  <c r="I7" i="155"/>
  <c r="H7" i="155"/>
  <c r="H30" i="155" s="1"/>
  <c r="G7" i="155"/>
  <c r="G30" i="155" s="1"/>
  <c r="E7" i="155"/>
  <c r="D7" i="155"/>
  <c r="C7" i="155"/>
  <c r="D11" i="154"/>
  <c r="C11" i="154"/>
  <c r="D15" i="3"/>
  <c r="D24" i="3"/>
  <c r="H101" i="150"/>
  <c r="G101" i="150"/>
  <c r="H100" i="150"/>
  <c r="G100" i="150"/>
  <c r="H99" i="150"/>
  <c r="G99" i="150"/>
  <c r="H97" i="150"/>
  <c r="G97" i="150"/>
  <c r="H96" i="150"/>
  <c r="G96" i="150"/>
  <c r="H95" i="150"/>
  <c r="G95" i="150"/>
  <c r="H94" i="150"/>
  <c r="G94" i="150"/>
  <c r="H93" i="150"/>
  <c r="G93" i="150"/>
  <c r="H92" i="150"/>
  <c r="G92" i="150"/>
  <c r="H91" i="150"/>
  <c r="G91" i="150"/>
  <c r="F90" i="150"/>
  <c r="E90" i="150"/>
  <c r="D90" i="150"/>
  <c r="H90" i="150" s="1"/>
  <c r="C90" i="150"/>
  <c r="H89" i="150"/>
  <c r="G89" i="150"/>
  <c r="H88" i="150"/>
  <c r="G88" i="150"/>
  <c r="H86" i="150"/>
  <c r="G86" i="150"/>
  <c r="H85" i="150"/>
  <c r="G85" i="150"/>
  <c r="H84" i="150"/>
  <c r="G84" i="150"/>
  <c r="H83" i="150"/>
  <c r="G83" i="150"/>
  <c r="H82" i="150"/>
  <c r="G82" i="150"/>
  <c r="F81" i="150"/>
  <c r="H81" i="150" s="1"/>
  <c r="E81" i="150"/>
  <c r="D81" i="150"/>
  <c r="D79" i="150" s="1"/>
  <c r="C81" i="150"/>
  <c r="C79" i="150" s="1"/>
  <c r="H80" i="150"/>
  <c r="G80" i="150"/>
  <c r="H78" i="150"/>
  <c r="G78" i="150"/>
  <c r="H77" i="150"/>
  <c r="G77" i="150"/>
  <c r="H76" i="150"/>
  <c r="G76" i="150"/>
  <c r="H75" i="150"/>
  <c r="G75" i="150"/>
  <c r="H74" i="150"/>
  <c r="G74" i="150"/>
  <c r="H73" i="150"/>
  <c r="G73" i="150"/>
  <c r="H72" i="150"/>
  <c r="G72" i="150"/>
  <c r="H71" i="150"/>
  <c r="G71" i="150"/>
  <c r="H70" i="150"/>
  <c r="G70" i="150"/>
  <c r="H69" i="150"/>
  <c r="G69" i="150"/>
  <c r="F68" i="150"/>
  <c r="E68" i="150"/>
  <c r="D68" i="150"/>
  <c r="C68" i="150"/>
  <c r="H67" i="150"/>
  <c r="G67" i="150"/>
  <c r="H66" i="150"/>
  <c r="G66" i="150"/>
  <c r="H65" i="150"/>
  <c r="G65" i="150"/>
  <c r="H64" i="150"/>
  <c r="G64" i="150"/>
  <c r="H63" i="150"/>
  <c r="G63" i="150"/>
  <c r="F62" i="150"/>
  <c r="E62" i="150"/>
  <c r="E60" i="150" s="1"/>
  <c r="D62" i="150"/>
  <c r="D60" i="150" s="1"/>
  <c r="C62" i="150"/>
  <c r="C60" i="150" s="1"/>
  <c r="H61" i="150"/>
  <c r="G61" i="150"/>
  <c r="H59" i="150"/>
  <c r="G59" i="150"/>
  <c r="H58" i="150"/>
  <c r="G58" i="150"/>
  <c r="H57" i="150"/>
  <c r="G57" i="150"/>
  <c r="H56" i="150"/>
  <c r="G56" i="150"/>
  <c r="H55" i="150"/>
  <c r="G55" i="150"/>
  <c r="H54" i="150"/>
  <c r="G54" i="150"/>
  <c r="H53" i="150"/>
  <c r="G53" i="150"/>
  <c r="H52" i="150"/>
  <c r="G52" i="150"/>
  <c r="H51" i="150"/>
  <c r="G51" i="150"/>
  <c r="H50" i="150"/>
  <c r="G50" i="150"/>
  <c r="H49" i="150"/>
  <c r="G49" i="150"/>
  <c r="H48" i="150"/>
  <c r="G48" i="150"/>
  <c r="H47" i="150"/>
  <c r="G47" i="150"/>
  <c r="H46" i="150"/>
  <c r="G46" i="150"/>
  <c r="H45" i="150"/>
  <c r="G45" i="150"/>
  <c r="F44" i="150"/>
  <c r="E44" i="150"/>
  <c r="D44" i="150"/>
  <c r="C44" i="150"/>
  <c r="H43" i="150"/>
  <c r="G43" i="150"/>
  <c r="H42" i="150"/>
  <c r="G42" i="150"/>
  <c r="H41" i="150"/>
  <c r="G41" i="150"/>
  <c r="F40" i="150"/>
  <c r="E40" i="150"/>
  <c r="D40" i="150"/>
  <c r="C40" i="150"/>
  <c r="H39" i="150"/>
  <c r="G39" i="150"/>
  <c r="H38" i="150"/>
  <c r="G38" i="150"/>
  <c r="H37" i="150"/>
  <c r="G37" i="150"/>
  <c r="H36" i="150"/>
  <c r="G36" i="150"/>
  <c r="H35" i="150"/>
  <c r="G35" i="150"/>
  <c r="H34" i="150"/>
  <c r="G34" i="150"/>
  <c r="H33" i="150"/>
  <c r="G33" i="150"/>
  <c r="F32" i="150"/>
  <c r="E32" i="150"/>
  <c r="D32" i="150"/>
  <c r="C32" i="150"/>
  <c r="H31" i="150"/>
  <c r="G31" i="150"/>
  <c r="H30" i="150"/>
  <c r="G30" i="150"/>
  <c r="H29" i="150"/>
  <c r="G29" i="150"/>
  <c r="H28" i="150"/>
  <c r="G28" i="150"/>
  <c r="F27" i="150"/>
  <c r="E27" i="150"/>
  <c r="D27" i="150"/>
  <c r="C27" i="150"/>
  <c r="H25" i="150"/>
  <c r="G25" i="150"/>
  <c r="H24" i="150"/>
  <c r="G24" i="150"/>
  <c r="H23" i="150"/>
  <c r="G23" i="150"/>
  <c r="H22" i="150"/>
  <c r="G22" i="150"/>
  <c r="H21" i="150"/>
  <c r="G21" i="150"/>
  <c r="H20" i="150"/>
  <c r="G20" i="150"/>
  <c r="F19" i="150"/>
  <c r="E19" i="150"/>
  <c r="D19" i="150"/>
  <c r="C19" i="150"/>
  <c r="H18" i="150"/>
  <c r="G18" i="150"/>
  <c r="H17" i="150"/>
  <c r="G17" i="150"/>
  <c r="H16" i="150"/>
  <c r="G16" i="150"/>
  <c r="H15" i="150"/>
  <c r="G15" i="150"/>
  <c r="H14" i="150"/>
  <c r="G14" i="150"/>
  <c r="H13" i="150"/>
  <c r="G13" i="150"/>
  <c r="H12" i="150"/>
  <c r="G12" i="150"/>
  <c r="H11" i="150"/>
  <c r="G11" i="150"/>
  <c r="H10" i="150"/>
  <c r="G10" i="150"/>
  <c r="H9" i="150"/>
  <c r="G9" i="150"/>
  <c r="H8" i="150"/>
  <c r="G8" i="150"/>
  <c r="H7" i="150"/>
  <c r="G7" i="150"/>
  <c r="A7" i="150"/>
  <c r="A8" i="150" s="1"/>
  <c r="A9" i="150" s="1"/>
  <c r="A10" i="150" s="1"/>
  <c r="A11" i="150" s="1"/>
  <c r="A12" i="150" s="1"/>
  <c r="A13" i="150" s="1"/>
  <c r="A14" i="150" s="1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5" i="150" s="1"/>
  <c r="A26" i="150" s="1"/>
  <c r="A27" i="150" s="1"/>
  <c r="A28" i="150" s="1"/>
  <c r="A29" i="150" s="1"/>
  <c r="A30" i="150" s="1"/>
  <c r="A31" i="150" s="1"/>
  <c r="A32" i="150" s="1"/>
  <c r="A33" i="150" s="1"/>
  <c r="A34" i="150" s="1"/>
  <c r="A35" i="150" s="1"/>
  <c r="A36" i="150" s="1"/>
  <c r="A37" i="150" s="1"/>
  <c r="A38" i="150" s="1"/>
  <c r="A39" i="150" s="1"/>
  <c r="A40" i="150" s="1"/>
  <c r="A41" i="150" s="1"/>
  <c r="A42" i="150" s="1"/>
  <c r="A43" i="150" s="1"/>
  <c r="A44" i="150" s="1"/>
  <c r="A45" i="150" s="1"/>
  <c r="A46" i="150" s="1"/>
  <c r="A47" i="150" s="1"/>
  <c r="A48" i="150" s="1"/>
  <c r="A49" i="150" s="1"/>
  <c r="A50" i="150" s="1"/>
  <c r="A51" i="150" s="1"/>
  <c r="A52" i="150" s="1"/>
  <c r="A53" i="150" s="1"/>
  <c r="A54" i="150" s="1"/>
  <c r="A55" i="150" s="1"/>
  <c r="A56" i="150" s="1"/>
  <c r="A57" i="150" s="1"/>
  <c r="A58" i="150" s="1"/>
  <c r="A59" i="150" s="1"/>
  <c r="A60" i="150" s="1"/>
  <c r="A61" i="150" s="1"/>
  <c r="A62" i="150" s="1"/>
  <c r="A63" i="150" s="1"/>
  <c r="A64" i="150" s="1"/>
  <c r="A65" i="150" s="1"/>
  <c r="A66" i="150" s="1"/>
  <c r="A67" i="150" s="1"/>
  <c r="A68" i="150" s="1"/>
  <c r="A69" i="150" s="1"/>
  <c r="A70" i="150" s="1"/>
  <c r="A71" i="150" s="1"/>
  <c r="A72" i="150" s="1"/>
  <c r="A73" i="150" s="1"/>
  <c r="A74" i="150" s="1"/>
  <c r="A75" i="150" s="1"/>
  <c r="A76" i="150" s="1"/>
  <c r="A77" i="150" s="1"/>
  <c r="A78" i="150" s="1"/>
  <c r="A79" i="150" s="1"/>
  <c r="A80" i="150" s="1"/>
  <c r="A81" i="150" s="1"/>
  <c r="A82" i="150" s="1"/>
  <c r="A83" i="150" s="1"/>
  <c r="A84" i="150" s="1"/>
  <c r="A85" i="150" s="1"/>
  <c r="A86" i="150" s="1"/>
  <c r="A88" i="150" s="1"/>
  <c r="A89" i="150" s="1"/>
  <c r="A90" i="150" s="1"/>
  <c r="A91" i="150" s="1"/>
  <c r="A92" i="150" s="1"/>
  <c r="A94" i="150" s="1"/>
  <c r="A95" i="150" s="1"/>
  <c r="A96" i="150" s="1"/>
  <c r="A97" i="150" s="1"/>
  <c r="A98" i="150" s="1"/>
  <c r="A99" i="150" s="1"/>
  <c r="A100" i="150" s="1"/>
  <c r="A101" i="150" s="1"/>
  <c r="A102" i="150" s="1"/>
  <c r="F6" i="150"/>
  <c r="E6" i="150"/>
  <c r="D6" i="150"/>
  <c r="C6" i="150"/>
  <c r="G6" i="150" s="1"/>
  <c r="D20" i="146"/>
  <c r="C20" i="146"/>
  <c r="D21" i="146"/>
  <c r="F43" i="133"/>
  <c r="F42" i="133"/>
  <c r="N15" i="145"/>
  <c r="M15" i="145"/>
  <c r="M18" i="145"/>
  <c r="N18" i="145"/>
  <c r="N16" i="145"/>
  <c r="M16" i="145"/>
  <c r="N12" i="145"/>
  <c r="M12" i="145"/>
  <c r="N11" i="145"/>
  <c r="M11" i="145"/>
  <c r="M8" i="145"/>
  <c r="N8" i="145"/>
  <c r="M6" i="145"/>
  <c r="C17" i="146"/>
  <c r="H20" i="142"/>
  <c r="H7" i="145"/>
  <c r="G7" i="145"/>
  <c r="G17" i="145" s="1"/>
  <c r="H6" i="145" s="1"/>
  <c r="C21" i="146"/>
  <c r="D17" i="146"/>
  <c r="D6" i="146"/>
  <c r="C6" i="146"/>
  <c r="A6" i="146"/>
  <c r="A7" i="146" s="1"/>
  <c r="A8" i="146" s="1"/>
  <c r="A9" i="146" s="1"/>
  <c r="A10" i="146" s="1"/>
  <c r="A11" i="146" s="1"/>
  <c r="A12" i="146" s="1"/>
  <c r="A13" i="146" s="1"/>
  <c r="A15" i="146" s="1"/>
  <c r="A16" i="146" s="1"/>
  <c r="A17" i="146" s="1"/>
  <c r="A18" i="146" s="1"/>
  <c r="A19" i="146" s="1"/>
  <c r="A20" i="146" s="1"/>
  <c r="A21" i="146" s="1"/>
  <c r="N14" i="145"/>
  <c r="M14" i="145"/>
  <c r="N13" i="145"/>
  <c r="M13" i="145"/>
  <c r="N10" i="145"/>
  <c r="M10" i="145"/>
  <c r="N9" i="145"/>
  <c r="M9" i="145"/>
  <c r="L7" i="145"/>
  <c r="K7" i="145"/>
  <c r="K17" i="145" s="1"/>
  <c r="L6" i="145" s="1"/>
  <c r="J7" i="145"/>
  <c r="I7" i="145"/>
  <c r="F7" i="145"/>
  <c r="E7" i="145"/>
  <c r="E17" i="145" s="1"/>
  <c r="F6" i="145" s="1"/>
  <c r="D7" i="145"/>
  <c r="C7" i="145"/>
  <c r="F40" i="134"/>
  <c r="I21" i="91"/>
  <c r="I20" i="91"/>
  <c r="I19" i="91"/>
  <c r="I18" i="91"/>
  <c r="I17" i="91"/>
  <c r="I9" i="91"/>
  <c r="I8" i="91"/>
  <c r="I6" i="91"/>
  <c r="G6" i="97"/>
  <c r="C21" i="142"/>
  <c r="G21" i="142" s="1"/>
  <c r="C11" i="142"/>
  <c r="G11" i="142"/>
  <c r="A7" i="142"/>
  <c r="A8" i="142" s="1"/>
  <c r="A9" i="142" s="1"/>
  <c r="A10" i="142" s="1"/>
  <c r="A11" i="142" s="1"/>
  <c r="A12" i="142" s="1"/>
  <c r="A13" i="142" s="1"/>
  <c r="A14" i="142" s="1"/>
  <c r="A15" i="142" s="1"/>
  <c r="A16" i="142" s="1"/>
  <c r="A17" i="142" s="1"/>
  <c r="A18" i="142" s="1"/>
  <c r="A19" i="142" s="1"/>
  <c r="A20" i="142" s="1"/>
  <c r="A21" i="142" s="1"/>
  <c r="A22" i="142" s="1"/>
  <c r="A23" i="142" s="1"/>
  <c r="A24" i="142" s="1"/>
  <c r="A25" i="142" s="1"/>
  <c r="A26" i="142" s="1"/>
  <c r="A27" i="142" s="1"/>
  <c r="A28" i="142" s="1"/>
  <c r="A29" i="142" s="1"/>
  <c r="A30" i="142" s="1"/>
  <c r="A31" i="142" s="1"/>
  <c r="A32" i="142" s="1"/>
  <c r="A33" i="142" s="1"/>
  <c r="A34" i="142" s="1"/>
  <c r="A35" i="142" s="1"/>
  <c r="A36" i="142" s="1"/>
  <c r="A37" i="142" s="1"/>
  <c r="A38" i="142" s="1"/>
  <c r="A39" i="142" s="1"/>
  <c r="A40" i="142" s="1"/>
  <c r="A41" i="142" s="1"/>
  <c r="A42" i="142" s="1"/>
  <c r="A43" i="142" s="1"/>
  <c r="A44" i="142" s="1"/>
  <c r="A45" i="142" s="1"/>
  <c r="A46" i="142" s="1"/>
  <c r="A47" i="142" s="1"/>
  <c r="A48" i="142" s="1"/>
  <c r="A49" i="142" s="1"/>
  <c r="A50" i="142" s="1"/>
  <c r="A51" i="142" s="1"/>
  <c r="A52" i="142" s="1"/>
  <c r="A53" i="142" s="1"/>
  <c r="A54" i="142" s="1"/>
  <c r="A55" i="142" s="1"/>
  <c r="A56" i="142" s="1"/>
  <c r="A57" i="142" s="1"/>
  <c r="A58" i="142" s="1"/>
  <c r="A59" i="142" s="1"/>
  <c r="A60" i="142" s="1"/>
  <c r="A61" i="142" s="1"/>
  <c r="A62" i="142" s="1"/>
  <c r="A63" i="142" s="1"/>
  <c r="A64" i="142" s="1"/>
  <c r="A65" i="142" s="1"/>
  <c r="A66" i="142" s="1"/>
  <c r="A67" i="142" s="1"/>
  <c r="A68" i="142" s="1"/>
  <c r="A69" i="142" s="1"/>
  <c r="A70" i="142" s="1"/>
  <c r="C6" i="142"/>
  <c r="F23" i="76"/>
  <c r="J23" i="76"/>
  <c r="J22" i="76" s="1"/>
  <c r="F25" i="76"/>
  <c r="J25" i="76"/>
  <c r="F26" i="76"/>
  <c r="J26" i="76"/>
  <c r="F5" i="134"/>
  <c r="F6" i="134"/>
  <c r="F7" i="134"/>
  <c r="F8" i="134"/>
  <c r="F9" i="134"/>
  <c r="F10" i="134"/>
  <c r="F11" i="134"/>
  <c r="F12" i="134"/>
  <c r="F13" i="134"/>
  <c r="F14" i="134"/>
  <c r="F15" i="134"/>
  <c r="F16" i="134"/>
  <c r="F17" i="134"/>
  <c r="F18" i="134"/>
  <c r="F19" i="134"/>
  <c r="F20" i="134"/>
  <c r="F21" i="134"/>
  <c r="F22" i="134"/>
  <c r="F23" i="134"/>
  <c r="F24" i="134"/>
  <c r="F25" i="134"/>
  <c r="F26" i="134"/>
  <c r="F27" i="134"/>
  <c r="F29" i="134"/>
  <c r="F30" i="134"/>
  <c r="F31" i="134"/>
  <c r="F32" i="134"/>
  <c r="F33" i="134"/>
  <c r="F34" i="134"/>
  <c r="F35" i="134"/>
  <c r="F36" i="134"/>
  <c r="F37" i="134"/>
  <c r="F38" i="134"/>
  <c r="F39" i="134"/>
  <c r="F41" i="134"/>
  <c r="D42" i="134"/>
  <c r="F5" i="133"/>
  <c r="F6" i="133"/>
  <c r="F7" i="133"/>
  <c r="F8" i="133"/>
  <c r="F9" i="133"/>
  <c r="F10" i="133"/>
  <c r="F11" i="133"/>
  <c r="F12" i="133"/>
  <c r="F13" i="133"/>
  <c r="F14" i="133"/>
  <c r="F15" i="133"/>
  <c r="F16" i="133"/>
  <c r="F17" i="133"/>
  <c r="F18" i="133"/>
  <c r="F19" i="133"/>
  <c r="F20" i="133"/>
  <c r="F21" i="133"/>
  <c r="F22" i="133"/>
  <c r="F23" i="133"/>
  <c r="F24" i="133"/>
  <c r="F25" i="133"/>
  <c r="F26" i="133"/>
  <c r="F27" i="133"/>
  <c r="F28" i="133"/>
  <c r="F29" i="133"/>
  <c r="F30" i="133"/>
  <c r="F31" i="133"/>
  <c r="F32" i="133"/>
  <c r="F33" i="133"/>
  <c r="F34" i="133"/>
  <c r="F35" i="133"/>
  <c r="F36" i="133"/>
  <c r="F37" i="133"/>
  <c r="F38" i="133"/>
  <c r="F39" i="133"/>
  <c r="D40" i="133"/>
  <c r="D41" i="133" s="1"/>
  <c r="D44" i="133" s="1"/>
  <c r="E40" i="133"/>
  <c r="C6" i="61"/>
  <c r="E6" i="61" s="1"/>
  <c r="D6" i="61"/>
  <c r="A7" i="61"/>
  <c r="A8" i="61" s="1"/>
  <c r="A9" i="61" s="1"/>
  <c r="A10" i="61" s="1"/>
  <c r="E7" i="61"/>
  <c r="E8" i="61"/>
  <c r="E10" i="61"/>
  <c r="E12" i="61"/>
  <c r="E13" i="61"/>
  <c r="C15" i="61"/>
  <c r="D15" i="61"/>
  <c r="E16" i="61"/>
  <c r="A7" i="90"/>
  <c r="A8" i="90"/>
  <c r="A9" i="90" s="1"/>
  <c r="A10" i="90" s="1"/>
  <c r="A11" i="90" s="1"/>
  <c r="A12" i="90" s="1"/>
  <c r="A13" i="90" s="1"/>
  <c r="A14" i="90" s="1"/>
  <c r="A15" i="90" s="1"/>
  <c r="A17" i="90" s="1"/>
  <c r="A18" i="90" s="1"/>
  <c r="A19" i="90" s="1"/>
  <c r="A20" i="90" s="1"/>
  <c r="C7" i="90"/>
  <c r="C14" i="90" s="1"/>
  <c r="C20" i="90" s="1"/>
  <c r="D7" i="90"/>
  <c r="D14" i="90" s="1"/>
  <c r="D20" i="90" s="1"/>
  <c r="A7" i="116"/>
  <c r="E8" i="116"/>
  <c r="C18" i="116" s="1"/>
  <c r="F8" i="116"/>
  <c r="A9" i="116"/>
  <c r="A10" i="116" s="1"/>
  <c r="A11" i="116" s="1"/>
  <c r="A12" i="116" s="1"/>
  <c r="A13" i="116" s="1"/>
  <c r="A14" i="116" s="1"/>
  <c r="A15" i="116" s="1"/>
  <c r="A16" i="116" s="1"/>
  <c r="A17" i="116" s="1"/>
  <c r="A18" i="116" s="1"/>
  <c r="C13" i="116"/>
  <c r="C17" i="116" s="1"/>
  <c r="D13" i="116"/>
  <c r="D14" i="116"/>
  <c r="A7" i="109"/>
  <c r="A8" i="109"/>
  <c r="A9" i="109" s="1"/>
  <c r="A10" i="109" s="1"/>
  <c r="E9" i="109"/>
  <c r="E11" i="109" s="1"/>
  <c r="C12" i="109"/>
  <c r="E12" i="109"/>
  <c r="C7" i="76"/>
  <c r="D7" i="76"/>
  <c r="E7" i="76"/>
  <c r="G7" i="76"/>
  <c r="H7" i="76"/>
  <c r="I7" i="76"/>
  <c r="F8" i="76"/>
  <c r="J8" i="76"/>
  <c r="F9" i="76"/>
  <c r="J9" i="76"/>
  <c r="F10" i="76"/>
  <c r="J10" i="76"/>
  <c r="F11" i="76"/>
  <c r="J11" i="76"/>
  <c r="F12" i="76"/>
  <c r="J12" i="76"/>
  <c r="F13" i="76"/>
  <c r="J13" i="76"/>
  <c r="F15" i="76"/>
  <c r="J15" i="76"/>
  <c r="C16" i="76"/>
  <c r="D16" i="76"/>
  <c r="E16" i="76"/>
  <c r="G16" i="76"/>
  <c r="H16" i="76"/>
  <c r="I16" i="76"/>
  <c r="F17" i="76"/>
  <c r="J17" i="76"/>
  <c r="F18" i="76"/>
  <c r="J18" i="76"/>
  <c r="F19" i="76"/>
  <c r="J19" i="76"/>
  <c r="F20" i="76"/>
  <c r="J20" i="76"/>
  <c r="F21" i="76"/>
  <c r="J21" i="76"/>
  <c r="C22" i="76"/>
  <c r="D22" i="76"/>
  <c r="E22" i="76"/>
  <c r="G22" i="76"/>
  <c r="H22" i="76"/>
  <c r="I22" i="76"/>
  <c r="F27" i="76"/>
  <c r="F22" i="76"/>
  <c r="F28" i="76"/>
  <c r="J28" i="76"/>
  <c r="F29" i="76"/>
  <c r="J29" i="76"/>
  <c r="D5" i="3"/>
  <c r="E5" i="3" s="1"/>
  <c r="E6" i="3"/>
  <c r="E7" i="3"/>
  <c r="C11" i="3"/>
  <c r="D11" i="3"/>
  <c r="E12" i="3"/>
  <c r="E13" i="3"/>
  <c r="E15" i="3"/>
  <c r="E16" i="3"/>
  <c r="E17" i="3"/>
  <c r="E25" i="3"/>
  <c r="E26" i="3"/>
  <c r="C5" i="23"/>
  <c r="D5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C13" i="23"/>
  <c r="D13" i="23"/>
  <c r="C15" i="23"/>
  <c r="D15" i="23"/>
  <c r="C30" i="76"/>
  <c r="I17" i="145"/>
  <c r="J6" i="145" s="1"/>
  <c r="J17" i="145" s="1"/>
  <c r="H6" i="150"/>
  <c r="G62" i="150"/>
  <c r="F79" i="150"/>
  <c r="F7" i="155"/>
  <c r="K7" i="155" s="1"/>
  <c r="J7" i="155"/>
  <c r="J30" i="155" s="1"/>
  <c r="E30" i="155"/>
  <c r="I30" i="155"/>
  <c r="G15" i="149" l="1"/>
  <c r="G27" i="150"/>
  <c r="G40" i="150"/>
  <c r="F16" i="76"/>
  <c r="H17" i="145"/>
  <c r="H19" i="150"/>
  <c r="H27" i="150"/>
  <c r="H40" i="150"/>
  <c r="H68" i="150"/>
  <c r="K8" i="155"/>
  <c r="K10" i="155"/>
  <c r="K17" i="155"/>
  <c r="K19" i="155"/>
  <c r="K23" i="155"/>
  <c r="H17" i="149"/>
  <c r="C19" i="23"/>
  <c r="D30" i="76"/>
  <c r="H6" i="149"/>
  <c r="D35" i="3"/>
  <c r="I30" i="76"/>
  <c r="L15" i="155"/>
  <c r="K10" i="76"/>
  <c r="E30" i="76"/>
  <c r="D18" i="116"/>
  <c r="E15" i="61"/>
  <c r="G19" i="150"/>
  <c r="G32" i="150"/>
  <c r="G44" i="150"/>
  <c r="H55" i="142"/>
  <c r="H9" i="149"/>
  <c r="H15" i="149" s="1"/>
  <c r="F15" i="149"/>
  <c r="G17" i="149"/>
  <c r="C12" i="146"/>
  <c r="D10" i="146" s="1"/>
  <c r="D12" i="146" s="1"/>
  <c r="D9" i="146" s="1"/>
  <c r="D5" i="146" s="1"/>
  <c r="D16" i="146" s="1"/>
  <c r="H32" i="150"/>
  <c r="H44" i="150"/>
  <c r="H62" i="150"/>
  <c r="G81" i="150"/>
  <c r="C30" i="155"/>
  <c r="H11" i="142"/>
  <c r="E70" i="142"/>
  <c r="E15" i="23"/>
  <c r="D19" i="23"/>
  <c r="G30" i="76"/>
  <c r="L17" i="145"/>
  <c r="K12" i="155"/>
  <c r="J22" i="155"/>
  <c r="F40" i="133"/>
  <c r="F17" i="145"/>
  <c r="F6" i="144"/>
  <c r="E6" i="144"/>
  <c r="D17" i="116"/>
  <c r="N7" i="145"/>
  <c r="M7" i="145"/>
  <c r="K29" i="155"/>
  <c r="L28" i="155"/>
  <c r="L23" i="155"/>
  <c r="K21" i="155"/>
  <c r="D30" i="155"/>
  <c r="K15" i="155"/>
  <c r="K9" i="155"/>
  <c r="K11" i="155"/>
  <c r="K13" i="155"/>
  <c r="L11" i="155"/>
  <c r="F30" i="155"/>
  <c r="K30" i="155" s="1"/>
  <c r="K29" i="76"/>
  <c r="K20" i="76"/>
  <c r="H30" i="76"/>
  <c r="L19" i="155"/>
  <c r="F7" i="76"/>
  <c r="F60" i="150"/>
  <c r="H60" i="150" s="1"/>
  <c r="G90" i="150"/>
  <c r="E79" i="150"/>
  <c r="G79" i="150" s="1"/>
  <c r="H79" i="150"/>
  <c r="G68" i="150"/>
  <c r="C102" i="150"/>
  <c r="G39" i="142"/>
  <c r="C70" i="142"/>
  <c r="G70" i="142" s="1"/>
  <c r="F70" i="142"/>
  <c r="G6" i="142"/>
  <c r="C18" i="61"/>
  <c r="E18" i="61"/>
  <c r="F26" i="149"/>
  <c r="H12" i="149"/>
  <c r="G12" i="149"/>
  <c r="E15" i="149"/>
  <c r="E26" i="149" s="1"/>
  <c r="G16" i="149"/>
  <c r="D15" i="149"/>
  <c r="C15" i="149"/>
  <c r="C26" i="149" s="1"/>
  <c r="I23" i="91"/>
  <c r="I10" i="91"/>
  <c r="M6" i="97"/>
  <c r="E11" i="3"/>
  <c r="C35" i="3"/>
  <c r="E24" i="3"/>
  <c r="E19" i="23"/>
  <c r="E5" i="23"/>
  <c r="E13" i="23"/>
  <c r="G60" i="150"/>
  <c r="E102" i="150"/>
  <c r="K21" i="76"/>
  <c r="L21" i="155"/>
  <c r="K17" i="76"/>
  <c r="L17" i="155"/>
  <c r="L26" i="155"/>
  <c r="K26" i="76"/>
  <c r="C17" i="145"/>
  <c r="L10" i="155"/>
  <c r="L20" i="155"/>
  <c r="L29" i="155"/>
  <c r="J16" i="76"/>
  <c r="L13" i="155"/>
  <c r="K13" i="76"/>
  <c r="L9" i="155"/>
  <c r="K9" i="76"/>
  <c r="D18" i="61"/>
  <c r="K23" i="76"/>
  <c r="K15" i="76"/>
  <c r="C6" i="144"/>
  <c r="D70" i="142"/>
  <c r="L22" i="155"/>
  <c r="K22" i="76"/>
  <c r="L18" i="155"/>
  <c r="K18" i="76"/>
  <c r="J7" i="76"/>
  <c r="K25" i="76"/>
  <c r="L25" i="155"/>
  <c r="K11" i="76"/>
  <c r="L12" i="155"/>
  <c r="K12" i="76"/>
  <c r="L8" i="155"/>
  <c r="K8" i="76"/>
  <c r="D102" i="150"/>
  <c r="K28" i="76"/>
  <c r="K19" i="76"/>
  <c r="D6" i="144"/>
  <c r="D16" i="149"/>
  <c r="H16" i="149" s="1"/>
  <c r="E28" i="134" l="1"/>
  <c r="E35" i="3"/>
  <c r="L7" i="155"/>
  <c r="K16" i="76"/>
  <c r="F28" i="134"/>
  <c r="F42" i="134" s="1"/>
  <c r="F41" i="133" s="1"/>
  <c r="E42" i="134"/>
  <c r="E41" i="133" s="1"/>
  <c r="E44" i="133" s="1"/>
  <c r="F44" i="133" s="1"/>
  <c r="C9" i="146"/>
  <c r="C5" i="146" s="1"/>
  <c r="C16" i="146" s="1"/>
  <c r="F30" i="76"/>
  <c r="J30" i="76"/>
  <c r="L30" i="155" s="1"/>
  <c r="L16" i="155"/>
  <c r="K7" i="76"/>
  <c r="F102" i="150"/>
  <c r="H102" i="150" s="1"/>
  <c r="H70" i="142"/>
  <c r="G26" i="149"/>
  <c r="G102" i="150"/>
  <c r="D26" i="149"/>
  <c r="H26" i="149" s="1"/>
  <c r="D6" i="145"/>
  <c r="M17" i="145"/>
  <c r="K30" i="76" l="1"/>
  <c r="N6" i="145"/>
  <c r="D17" i="145"/>
  <c r="N17" i="145" s="1"/>
</calcChain>
</file>

<file path=xl/comments1.xml><?xml version="1.0" encoding="utf-8"?>
<comments xmlns="http://schemas.openxmlformats.org/spreadsheetml/2006/main">
  <authors>
    <author>anna.horvathova</author>
  </authors>
  <commentList>
    <comment ref="B32" authorId="0" shapeId="0">
      <text>
        <r>
          <rPr>
            <b/>
            <sz val="9"/>
            <color indexed="81"/>
            <rFont val="Segoe UI"/>
            <family val="2"/>
            <charset val="238"/>
          </rPr>
          <t>anna.horvathova:</t>
        </r>
        <r>
          <rPr>
            <sz val="9"/>
            <color indexed="81"/>
            <rFont val="Segoe UI"/>
            <family val="2"/>
            <charset val="238"/>
          </rPr>
          <t xml:space="preserve">
SPS = Science for Peace and Security</t>
        </r>
      </text>
    </comment>
  </commentList>
</comments>
</file>

<file path=xl/comments2.xml><?xml version="1.0" encoding="utf-8"?>
<comments xmlns="http://schemas.openxmlformats.org/spreadsheetml/2006/main">
  <authors>
    <author>Používateľ systému Windows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v tom aj náklady na ostatné prevádzkové náklady patriace na účet HK 649 = 88 481,57 €
</t>
        </r>
      </text>
    </comment>
  </commentList>
</comments>
</file>

<file path=xl/sharedStrings.xml><?xml version="1.0" encoding="utf-8"?>
<sst xmlns="http://schemas.openxmlformats.org/spreadsheetml/2006/main" count="1293" uniqueCount="882">
  <si>
    <t xml:space="preserve">pozn.1): rozdiel medzi údajom, vykazovaným v stĺpci T6_R18_SH a údajom v T5_R56_(SC+SD) uviesť v komentári  </t>
  </si>
  <si>
    <t xml:space="preserve">  - tvorba fondu z predaja alebo likvidácie majetku</t>
  </si>
  <si>
    <t xml:space="preserve">      - dohody o vykonaní práce - externí účitelia (účet 521 009)</t>
  </si>
  <si>
    <t xml:space="preserve">      - dohody o vykonaní práce, dohody o pracovnej činnosti
        (účet 521 010)</t>
  </si>
  <si>
    <t>- Iné ostatné  náklady (účet 549) [SUM(R77:R83)]</t>
  </si>
  <si>
    <t xml:space="preserve"> - Prvok 021 02 03  </t>
  </si>
  <si>
    <t xml:space="preserve"> - Podprogram 05T 08 </t>
  </si>
  <si>
    <t>2) ostatná tvorba fondu reprodukcie v zmysle § 16a ods. 8 zákona č. 131/2002 Z. z.o vysokých školách v znení neskorších predpisov (kreditné úroky a kurzové zisky)</t>
  </si>
  <si>
    <t xml:space="preserve">- tvorba fondu z výnosov zo školného </t>
  </si>
  <si>
    <r>
      <t>Stav fondu k 31.12. kalendárneho roku</t>
    </r>
    <r>
      <rPr>
        <sz val="12"/>
        <rFont val="Times New Roman"/>
        <family val="1"/>
      </rPr>
      <t xml:space="preserve"> [R1+R2-R11]</t>
    </r>
  </si>
  <si>
    <t>Účty v Štátnej pokladnici spolu [SUM(R2:R15)]</t>
  </si>
  <si>
    <t>Tržby za predaný tovar (účet 604)</t>
  </si>
  <si>
    <t xml:space="preserve">Ostatné sociálne poistenia (účet 525) </t>
  </si>
  <si>
    <t>C=A+B</t>
  </si>
  <si>
    <t>E=C-A</t>
  </si>
  <si>
    <t>F=D-B</t>
  </si>
  <si>
    <t>E=A+C</t>
  </si>
  <si>
    <t>F=B+D</t>
  </si>
  <si>
    <t>Náklady na štipendiá</t>
  </si>
  <si>
    <t xml:space="preserve">Ostatné sociálne náklady (účet 528)  </t>
  </si>
  <si>
    <t>Stav bankových účtov spolu [R1+R16+R17]</t>
  </si>
  <si>
    <t xml:space="preserve">  - poskytnuté jednorázovo</t>
  </si>
  <si>
    <r>
      <t>Zdroje na obstaranie a technické zhodnotenie majetku  z fondu reprodukcie</t>
    </r>
    <r>
      <rPr>
        <sz val="12"/>
        <rFont val="Times New Roman"/>
        <family val="1"/>
      </rPr>
      <t xml:space="preserve"> [R1+R2]</t>
    </r>
  </si>
  <si>
    <t>- nákup softvéru</t>
  </si>
  <si>
    <t>- náklady študentských domovov (bez zmluvných zariadení)- mzdy a odvody</t>
  </si>
  <si>
    <t>- náklady študentských domovov  (bez zmluvných zariadení) - ostatné</t>
  </si>
  <si>
    <t>- študentské jedálne</t>
  </si>
  <si>
    <t>- ostatný predaný tovar</t>
  </si>
  <si>
    <t xml:space="preserve">Odborní zamestnanci </t>
  </si>
  <si>
    <t>Prevádzkoví zamestnanci okrem zamestnancov študentských domovov a jedální</t>
  </si>
  <si>
    <t>Zamestnanci študentských domovov</t>
  </si>
  <si>
    <t>Zamestnanci študentských jedální</t>
  </si>
  <si>
    <t>- na oblasť IT</t>
  </si>
  <si>
    <t xml:space="preserve">Výdavky na sociálne štipendiá (§ 96 zákona) za kalendárny rok </t>
  </si>
  <si>
    <t>z EÚ</t>
  </si>
  <si>
    <r>
      <t>Dotácie z rozpočtov obcí a z rozpočtov vyšších územných celkov</t>
    </r>
    <r>
      <rPr>
        <sz val="12"/>
        <rFont val="Times New Roman"/>
        <family val="1"/>
      </rPr>
      <t xml:space="preserve"> [SUM(R2a:R2...)]</t>
    </r>
  </si>
  <si>
    <t>Prostriedky zo zahraničných projektov na budúce aktivity</t>
  </si>
  <si>
    <t>Ostatné</t>
  </si>
  <si>
    <t xml:space="preserve">1) V stĺpcoch B a D sa uvádza prepočítaný počet študentov určený ako počet osobomesiacov, počas ktorých bolo poskytované sociálne štipendium </t>
  </si>
  <si>
    <t>2) uvádzajte počet denných študentov I. a II. stupňa štúdia počas výučbového obdobia, najviac však 10 mesiacov  a denných študentov III. stupňa štúdia (doktorandov)  vrátane hlavných prázdnin maximálne 12 mesiacov</t>
  </si>
  <si>
    <t xml:space="preserve"> - tvorba sociálneho fondu  (účet 527 001)</t>
  </si>
  <si>
    <r>
      <t>Zdroje na obstaranie a technické zhodnotenie dlhodobého majetku spolu</t>
    </r>
    <r>
      <rPr>
        <sz val="12"/>
        <rFont val="Times New Roman"/>
        <family val="1"/>
      </rPr>
      <t xml:space="preserve"> [SUM(R9:R13)]</t>
    </r>
  </si>
  <si>
    <r>
      <t xml:space="preserve">- tvorba fondu z výsledku hospodárenia </t>
    </r>
    <r>
      <rPr>
        <vertAlign val="superscript"/>
        <sz val="12"/>
        <rFont val="Times New Roman"/>
        <family val="1"/>
        <charset val="238"/>
      </rPr>
      <t>1)</t>
    </r>
  </si>
  <si>
    <r>
      <t xml:space="preserve">- tvorba fondu z dotácie 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</si>
  <si>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- ostatná tvorba </t>
    </r>
    <r>
      <rPr>
        <vertAlign val="superscript"/>
        <sz val="12"/>
        <rFont val="Times New Roman"/>
        <family val="1"/>
        <charset val="238"/>
      </rPr>
      <t>2)</t>
    </r>
  </si>
  <si>
    <t>1) vrátane tvorby z nerozdeleného zisku z minulých rokov</t>
  </si>
  <si>
    <t>2) len ak umožňuje zákon</t>
  </si>
  <si>
    <t>3) uvádza sa v prípade, ak si vysoká škola vytvorila osobitný bankový účet na krytie fondu - napríklad  fondu reprodukcie</t>
  </si>
  <si>
    <t>- z ubytovania študentov (účet 602 001)</t>
  </si>
  <si>
    <t>- zo stravných lístkov študentov a doktorandov (účet 602 009)</t>
  </si>
  <si>
    <t>- z ubytovania a stravovania iných fyzických osôb (účet 602 008 a 602 010)</t>
  </si>
  <si>
    <t>- drobný nehmotný majetok  (účet 518 014)</t>
  </si>
  <si>
    <t>- používanie plavárne (účet 518 019)</t>
  </si>
  <si>
    <t>- z dotačného účtu  (účet 644 001)</t>
  </si>
  <si>
    <t>- z ostatných účtov  (účet 644 002)</t>
  </si>
  <si>
    <t>- výnosy z dedičstva  (účet 649 010)</t>
  </si>
  <si>
    <t>- výnosy z duševného vlastníctva (účet 649 011)</t>
  </si>
  <si>
    <t>- oprava výnosov minulých účtovných období (účet 649 013)</t>
  </si>
  <si>
    <t>- použitie prostriedkov fondov (účet 649 014)</t>
  </si>
  <si>
    <t>- použitie prostriedkov výnosov budúcich období - projekty  (účet 649 015)</t>
  </si>
  <si>
    <t>- dobropisy minulých období (účet 649 017)</t>
  </si>
  <si>
    <t>- štipendijného fondu (účet 656 200)</t>
  </si>
  <si>
    <t>- stavebný, vodoinštalačný a elektroinštalačný materiál
 (účet 501 009)</t>
  </si>
  <si>
    <t>- potraviny (účet 501 010)</t>
  </si>
  <si>
    <t>- DHM - prístroje a zariadenia laboratórií, výpočtová technika  (účet 501 011)</t>
  </si>
  <si>
    <t>- DHM - nábytok (účet 501 012)</t>
  </si>
  <si>
    <t>- opravy a udržiavanie stavieb  (účet 511 001)</t>
  </si>
  <si>
    <t>- opravy a udržiavanie strojov, prístrojov, zariadení a inventára  (účet 511 002)</t>
  </si>
  <si>
    <t>- opravy a udržiavanie dopravných prostriedkov  (účet 511 003)</t>
  </si>
  <si>
    <t>- opravy a udržiavanie prostriedkov IT  (účet 511 004)</t>
  </si>
  <si>
    <r>
      <t xml:space="preserve">- prospechové </t>
    </r>
    <r>
      <rPr>
        <sz val="12"/>
        <rFont val="Times New Roman"/>
        <family val="1"/>
        <charset val="238"/>
      </rPr>
      <t xml:space="preserve">[R3+R4] </t>
    </r>
  </si>
  <si>
    <t>- údržba a opravy meracej techniky, telovýchovných  zariadení ...(účet 511 005)</t>
  </si>
  <si>
    <t>- ostatná údržba a opravy (účet 511 099)</t>
  </si>
  <si>
    <t>- prenájom zariadení (účet 518 002)</t>
  </si>
  <si>
    <t>- prenájom priestorov  (účet 518 001)</t>
  </si>
  <si>
    <t>- ďalšie vzdelávanie zamestnancov  (účet 518 005)</t>
  </si>
  <si>
    <t>- počítačové siete a prenosy údajov  (účet 518 007)</t>
  </si>
  <si>
    <t>- revízie zariadení (účet 518 010)</t>
  </si>
  <si>
    <t>- čistenie verejných priestranstiev (účet 518 011)</t>
  </si>
  <si>
    <t xml:space="preserve"> - zákonné odstupné, odchodné  (účet 527 003)</t>
  </si>
  <si>
    <t xml:space="preserve"> - náhrada príjmu pri PN (účet 527 004)</t>
  </si>
  <si>
    <t xml:space="preserve"> - ochranné pracovné pomôcky podľa Zákonníka práce (účet 527 005) </t>
  </si>
  <si>
    <t xml:space="preserve"> - ostatné zákonné sociálne náklady (účet 527 099)</t>
  </si>
  <si>
    <t xml:space="preserve"> - bankové poplatky (účet 549 002)</t>
  </si>
  <si>
    <t xml:space="preserve"> - úhrada výnosov z úrokov na dotačnom účte (účet 549 003)</t>
  </si>
  <si>
    <t xml:space="preserve"> - Podprogram 06K 11</t>
  </si>
  <si>
    <t>Tržby z predaja cenných papierov a podielov (účet 653)</t>
  </si>
  <si>
    <t>Výnosy z nájmu majetku  (účet 658)</t>
  </si>
  <si>
    <r>
      <t xml:space="preserve">  - poskytované mesačne </t>
    </r>
    <r>
      <rPr>
        <vertAlign val="superscript"/>
        <sz val="12"/>
        <rFont val="Times New Roman"/>
        <family val="1"/>
        <charset val="238"/>
      </rPr>
      <t>1)</t>
    </r>
  </si>
  <si>
    <t>Výnosy z dlhodobého finančného majetku (účet 652)</t>
  </si>
  <si>
    <t>Prijaté príspevky od iných organizácií (účet 662)</t>
  </si>
  <si>
    <t>Prevádzkové dotácie (účet 691)</t>
  </si>
  <si>
    <t xml:space="preserve">   - Prvok 077 12 05</t>
  </si>
  <si>
    <t>- Podprogram 077 13</t>
  </si>
  <si>
    <t xml:space="preserve">   - Prvok 077 15 01</t>
  </si>
  <si>
    <t xml:space="preserve">   - Prvok 077 15 02</t>
  </si>
  <si>
    <t xml:space="preserve">   - Prvok 077 15 03</t>
  </si>
  <si>
    <t xml:space="preserve"> </t>
  </si>
  <si>
    <t>- zúčtovanie dotácie zo ŠR na DN a HM vo výške odpisov</t>
  </si>
  <si>
    <t xml:space="preserve">- náklady na tvorbu rezervného fondu (účet 556 100) </t>
  </si>
  <si>
    <t xml:space="preserve">- náklady na tvorbu štipendijného fondu (účet 556 200) </t>
  </si>
  <si>
    <r>
      <t>Tvorba fondu reprodukcie v kalendárnom roku spolu</t>
    </r>
    <r>
      <rPr>
        <sz val="12"/>
        <rFont val="Times New Roman"/>
        <family val="1"/>
      </rPr>
      <t xml:space="preserve"> [SUM(R3:R8)] </t>
    </r>
  </si>
  <si>
    <t>- zamestnanci zaradení na ostatných pracoviskách</t>
  </si>
  <si>
    <t>- bežný účet okrem účtov uvedených v 
  R6:R8</t>
  </si>
  <si>
    <t>- devízové účty</t>
  </si>
  <si>
    <t>- účet štipendijného fondu</t>
  </si>
  <si>
    <t>- účet podnikateľskej činnosti</t>
  </si>
  <si>
    <t>- účet sociálneho fondu</t>
  </si>
  <si>
    <t>- účet fondu reprodukcie</t>
  </si>
  <si>
    <t>- bežný účet - zábezpeka</t>
  </si>
  <si>
    <t>- ostatné bankové účty v Štátnej pokladnici 
  mimo účtov uvedených v R2:R14</t>
  </si>
  <si>
    <t xml:space="preserve">Čerpanie ostatných zdrojov prostredníctvom fondu reprodukcie </t>
  </si>
  <si>
    <t>Zákonné sociálne poistenie (účet 524)</t>
  </si>
  <si>
    <t>Daň z nehnuteľnosti (účet 532)</t>
  </si>
  <si>
    <t>Nákup dopravných prostriedkov všetkých druhov</t>
  </si>
  <si>
    <t>Prípravná a projektová dokumentácia</t>
  </si>
  <si>
    <t>Rekonštrukcia a modernizácia strojov a zariadení</t>
  </si>
  <si>
    <t>Počet zamestnancov spolu</t>
  </si>
  <si>
    <t>D=A+C</t>
  </si>
  <si>
    <t>H=E+G</t>
  </si>
  <si>
    <t>- zamestnanci zaradení na dekanátoch</t>
  </si>
  <si>
    <t>Počet študentov poberajúcich sociálne štipendium</t>
  </si>
  <si>
    <t>- zostatok nevyčerpanej dotácie (+)/ nedoplatok dotácie (-) z predchádzajúcich rokov [R6_SB=R8_SA]</t>
  </si>
  <si>
    <t>- dotačný účet</t>
  </si>
  <si>
    <t>- zostatkový účet</t>
  </si>
  <si>
    <t>- distribučný účet</t>
  </si>
  <si>
    <t>spolufinanco-
vanie zo ŠR</t>
  </si>
  <si>
    <t xml:space="preserve">Počet študentov  poberajúcich štipendium </t>
  </si>
  <si>
    <t>Počet študentov  poberajúcich štipendium</t>
  </si>
  <si>
    <r>
      <t xml:space="preserve">Stav fondu k 1.1. kalendárneho roku </t>
    </r>
    <r>
      <rPr>
        <sz val="12"/>
        <rFont val="Times New Roman"/>
        <family val="1"/>
        <charset val="238"/>
      </rPr>
      <t>[R1_SB = R12_SA ...]</t>
    </r>
  </si>
  <si>
    <t>Čerpanie fondu k 31. 12. kalendárneho roku</t>
  </si>
  <si>
    <t>Spolu</t>
  </si>
  <si>
    <t>Dotácia / program</t>
  </si>
  <si>
    <t>Číslo riadku</t>
  </si>
  <si>
    <t>Dotácia spolu</t>
  </si>
  <si>
    <t>Stav fondu reprodukcie k 1.1.</t>
  </si>
  <si>
    <t xml:space="preserve">- účelová dotácia v danom kalendárnom roku </t>
  </si>
  <si>
    <t>Dotácie spolu</t>
  </si>
  <si>
    <t xml:space="preserve">Bežná dotácia na úlohy budúcich období </t>
  </si>
  <si>
    <t>Čerpanie z úveru</t>
  </si>
  <si>
    <t>Celkové výdavky na obstaranie a technické zhodnotenie dlhodobého majetku</t>
  </si>
  <si>
    <t>Počet zamestnancov platených z prostriedkov štátneho rozpočtu</t>
  </si>
  <si>
    <t>Počet zamestnancov platených z iných zdrojov</t>
  </si>
  <si>
    <t xml:space="preserve">Kategória zamestnancov
</t>
  </si>
  <si>
    <t>- vysokoškolskí učitelia s funkčným zaradením "docent"</t>
  </si>
  <si>
    <t>- vysokoškolskí učitelia s funkčným zaradením "odborný asistent"</t>
  </si>
  <si>
    <t>- vysokoškolskí učitelia s funkčným zaradením "asistent"</t>
  </si>
  <si>
    <t>- vysokoškolskí učitelia s funkčným zaradením "lektor"</t>
  </si>
  <si>
    <t>- zamestnanci zaradení na rektorátoch</t>
  </si>
  <si>
    <t xml:space="preserve">- rezervného fondu (účet 656 100) </t>
  </si>
  <si>
    <t xml:space="preserve">2)   Výnosy z Fondu reprodukcie možno účtovať len v súvislosti s krytím nákladov na vedenie príslušného bankového účtu a nákladov vyplývajúcich z kurzových strát
      v zmysle  16a ods. 8 zákona. </t>
  </si>
  <si>
    <t xml:space="preserve">    - dohody o brigádnickej práci študentov (účet 521 011)</t>
  </si>
  <si>
    <t>4a</t>
  </si>
  <si>
    <t xml:space="preserve">Základ pre prídel do štipendijného fondu </t>
  </si>
  <si>
    <t>Nákup strojov, prístrojov, zariadení, techniky a náradia [SUM(R5:R9)]</t>
  </si>
  <si>
    <r>
      <t>Nevyčerpaná dotácia (+) / nedoplatok dotácie (-) k 31. 12. bežného roka</t>
    </r>
    <r>
      <rPr>
        <sz val="12"/>
        <rFont val="Times New Roman"/>
        <family val="1"/>
        <charset val="238"/>
      </rPr>
      <t xml:space="preserve"> [R4+R5-R1]          </t>
    </r>
    <r>
      <rPr>
        <b/>
        <sz val="12"/>
        <rFont val="Times New Roman"/>
        <family val="1"/>
        <charset val="238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</si>
  <si>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  <charset val="238"/>
      </rPr>
      <t xml:space="preserve"> [R1_SA/R2_SB resp. R1_SC/R2_SD] </t>
    </r>
  </si>
  <si>
    <r>
      <t xml:space="preserve">Výnos z dotácie zo štátneho rozpočtu na študentské jedálne spolu </t>
    </r>
    <r>
      <rPr>
        <sz val="12"/>
        <rFont val="Times New Roman"/>
        <family val="1"/>
      </rPr>
      <t>[R6+R7-R8]</t>
    </r>
  </si>
  <si>
    <r>
      <t xml:space="preserve">Tržby za vlastné výrobky (účet 601) </t>
    </r>
    <r>
      <rPr>
        <sz val="12"/>
        <rFont val="Times New Roman"/>
        <family val="1"/>
      </rPr>
      <t>[SUM(R2:R5)]</t>
    </r>
  </si>
  <si>
    <t>Výnosy z krátkodobého finančného majetku  (účet 655)</t>
  </si>
  <si>
    <t>Zdroje na obstaranie a technické zhodnotenie dlhodobého majetku z úverov</t>
  </si>
  <si>
    <t xml:space="preserve">Dotácia na kapitálové výdavky zo štátneho rozpočtu </t>
  </si>
  <si>
    <r>
      <t>Ostatné domáce príjmy s charakterom dotácie</t>
    </r>
    <r>
      <rPr>
        <sz val="12"/>
        <rFont val="Times New Roman"/>
        <family val="1"/>
      </rPr>
      <t xml:space="preserve"> [SUM(R3a:R3...)]</t>
    </r>
  </si>
  <si>
    <r>
      <t>Príjmy zo zahraničia majúce charakter dotácie</t>
    </r>
    <r>
      <rPr>
        <sz val="12"/>
        <rFont val="Times New Roman"/>
        <family val="1"/>
      </rPr>
      <t xml:space="preserve"> [SUM(R4a:R4...)]</t>
    </r>
  </si>
  <si>
    <t>- Podprogram 077 11</t>
  </si>
  <si>
    <t xml:space="preserve">   - Prvok 077 12 01</t>
  </si>
  <si>
    <t xml:space="preserve">   - Prvok 077 12 02</t>
  </si>
  <si>
    <t xml:space="preserve">   - Prvok 077 12 03</t>
  </si>
  <si>
    <t xml:space="preserve">   - Prvok 077 12 04</t>
  </si>
  <si>
    <r>
      <t xml:space="preserve">Priemerný  prepočítaný počet ubytovaných študentov </t>
    </r>
    <r>
      <rPr>
        <sz val="12"/>
        <rFont val="Times New Roman"/>
        <family val="1"/>
        <charset val="238"/>
      </rPr>
      <t>[(R2</t>
    </r>
    <r>
      <rPr>
        <sz val="12"/>
        <rFont val="Times New Roman"/>
        <family val="1"/>
        <charset val="238"/>
      </rPr>
      <t>/12]</t>
    </r>
  </si>
  <si>
    <t xml:space="preserve">Počet študentov poberajúcich sociálne štipendium </t>
  </si>
  <si>
    <t xml:space="preserve">    - bežný účet pre študentské domovy</t>
  </si>
  <si>
    <t xml:space="preserve">    - bežný účet pre študentské jedálne</t>
  </si>
  <si>
    <t>- vysokoškolské podniky</t>
  </si>
  <si>
    <r>
      <t>Výnosy</t>
    </r>
    <r>
      <rPr>
        <b/>
        <vertAlign val="superscript"/>
        <sz val="12"/>
        <rFont val="Times New Roman"/>
        <family val="1"/>
        <charset val="238"/>
      </rPr>
      <t xml:space="preserve">2) </t>
    </r>
    <r>
      <rPr>
        <b/>
        <sz val="12"/>
        <rFont val="Times New Roman"/>
        <family val="1"/>
      </rPr>
      <t>študentských jedální súvisiace so stravovaním študentov spolu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  <charset val="238"/>
      </rPr>
      <t xml:space="preserve">[R2+R5]  </t>
    </r>
  </si>
  <si>
    <t>Výskumní pracovníci alebo umeleckí pracovníci</t>
  </si>
  <si>
    <t>15a</t>
  </si>
  <si>
    <r>
      <t>Vysokoškolskí učitelia spolu</t>
    </r>
    <r>
      <rPr>
        <sz val="12"/>
        <rFont val="Times New Roman"/>
        <family val="1"/>
      </rPr>
      <t xml:space="preserve"> [SUM(R2:</t>
    </r>
    <r>
      <rPr>
        <sz val="12"/>
        <rFont val="Times New Roman"/>
        <family val="1"/>
        <charset val="238"/>
      </rPr>
      <t>R6</t>
    </r>
    <r>
      <rPr>
        <sz val="12"/>
        <rFont val="Times New Roman"/>
        <family val="1"/>
      </rPr>
      <t>)]</t>
    </r>
  </si>
  <si>
    <r>
      <t>Administratívni zamestnanci spolu</t>
    </r>
    <r>
      <rPr>
        <sz val="12"/>
        <rFont val="Times New Roman"/>
        <family val="1"/>
      </rPr>
      <t xml:space="preserve"> [SUM(R10:R12)]                         </t>
    </r>
  </si>
  <si>
    <t>Nákup budov a stavieb</t>
  </si>
  <si>
    <t>A</t>
  </si>
  <si>
    <t>B</t>
  </si>
  <si>
    <t>C</t>
  </si>
  <si>
    <t>E</t>
  </si>
  <si>
    <t>F</t>
  </si>
  <si>
    <t>G</t>
  </si>
  <si>
    <t>H</t>
  </si>
  <si>
    <t>I</t>
  </si>
  <si>
    <t>D</t>
  </si>
  <si>
    <t>Bankový účet</t>
  </si>
  <si>
    <t xml:space="preserve">Ostatné dane a poplatky (účet 538) </t>
  </si>
  <si>
    <t>Realizácia stavieb a ich technického zhodnotenia</t>
  </si>
  <si>
    <t>- ostatné tržby za vlastné výrobky</t>
  </si>
  <si>
    <t>- študentské domovy</t>
  </si>
  <si>
    <t>z toho:</t>
  </si>
  <si>
    <t>Bežné dotácie</t>
  </si>
  <si>
    <t>Kapitálové dotácie</t>
  </si>
  <si>
    <r>
      <t>Spolu</t>
    </r>
    <r>
      <rPr>
        <sz val="12"/>
        <rFont val="Times New Roman"/>
        <family val="1"/>
      </rPr>
      <t xml:space="preserve"> [R1+R2+R3+R4]</t>
    </r>
  </si>
  <si>
    <t>Objem zdrojov</t>
  </si>
  <si>
    <t xml:space="preserve">Nákup ostatného dlhodobého majetku </t>
  </si>
  <si>
    <t>Ostatné fondy</t>
  </si>
  <si>
    <t>Účty mimo Štátnej pokladnice spolu</t>
  </si>
  <si>
    <t>X</t>
  </si>
  <si>
    <t>- tvorba fondu z odpisov</t>
  </si>
  <si>
    <t>- tvorba fondu prevodom z rezervného fondu</t>
  </si>
  <si>
    <t>- tvorba fondu z darov a z dedičstva</t>
  </si>
  <si>
    <t>1a</t>
  </si>
  <si>
    <t>2a</t>
  </si>
  <si>
    <t>3a</t>
  </si>
  <si>
    <r>
      <t>Zamestnanci osobitne financovaných súčastí verejnej vysokej školy (špecifiká) z R1, R7, R9, R13, R14  spolu</t>
    </r>
    <r>
      <rPr>
        <sz val="12"/>
        <rFont val="Times New Roman"/>
        <family val="1"/>
      </rPr>
      <t xml:space="preserve"> [SUM(R15a:R15...)]                                                </t>
    </r>
  </si>
  <si>
    <r>
      <t xml:space="preserve">Spolu </t>
    </r>
    <r>
      <rPr>
        <sz val="12"/>
        <rFont val="Times New Roman"/>
        <family val="1"/>
      </rPr>
      <t>[R1+R7+R9+R13+R14+R16+R17]</t>
    </r>
  </si>
  <si>
    <t>Tržby z predaja materiálu (účet 654)</t>
  </si>
  <si>
    <t>Spotreba ostatných neskladovateľných dodávok (účet 503)</t>
  </si>
  <si>
    <t>Náklady na reprezentáciu (účet 513)</t>
  </si>
  <si>
    <t>Fondy spolu</t>
  </si>
  <si>
    <t>Položka</t>
  </si>
  <si>
    <t>Hlavná činnosť</t>
  </si>
  <si>
    <t>Podnikateľská činnosť</t>
  </si>
  <si>
    <t>Rezervný fond</t>
  </si>
  <si>
    <t>Fond reprodukcie</t>
  </si>
  <si>
    <t>Štipendijný fond</t>
  </si>
  <si>
    <t>Návrh na prídel do štipendijného fondu</t>
  </si>
  <si>
    <t>Pokuty a penále (účet 641+642)</t>
  </si>
  <si>
    <t>Platby za odpísané pohľadávky  (účet 643)</t>
  </si>
  <si>
    <t>Kurzové zisky  (účet 645)</t>
  </si>
  <si>
    <r>
      <t>Počet študentov poberajúcich sociálne štipendiá v osobomesiacoch</t>
    </r>
    <r>
      <rPr>
        <b/>
        <sz val="9"/>
        <rFont val="Times New Roman"/>
        <family val="1"/>
        <charset val="238"/>
      </rPr>
      <t xml:space="preserve"> </t>
    </r>
    <r>
      <rPr>
        <b/>
        <vertAlign val="superscript"/>
        <sz val="14"/>
        <rFont val="Times New Roman"/>
        <family val="1"/>
        <charset val="238"/>
      </rPr>
      <t>1)</t>
    </r>
  </si>
  <si>
    <r>
      <t>Počet ubytovaných študentov (vrátane interných doktorandov)</t>
    </r>
    <r>
      <rPr>
        <b/>
        <vertAlign val="superscript"/>
        <sz val="14"/>
        <rFont val="Times New Roman"/>
        <family val="1"/>
        <charset val="238"/>
      </rPr>
      <t>2)</t>
    </r>
    <r>
      <rPr>
        <b/>
        <sz val="14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</rPr>
      <t xml:space="preserve"> v osobomesiacoch</t>
    </r>
  </si>
  <si>
    <t>Tržby z predaja dlhodobého NM a HM (účet 651)</t>
  </si>
  <si>
    <t>Výnosy z precenenia cenných papierov (účet 657)</t>
  </si>
  <si>
    <t>- interiérové vybavenie  (713 001)</t>
  </si>
  <si>
    <t>-  výpočtová technika  (713 002)</t>
  </si>
  <si>
    <t xml:space="preserve"> - prevádzkové stroje, prístroje, zariadenia, technika a náradie (713 004)</t>
  </si>
  <si>
    <t xml:space="preserve">  - špeciálne stroje, prístroje, zariadenia, technika, náradie a materiál  (713 005)</t>
  </si>
  <si>
    <t>Počty ubytovaných</t>
  </si>
  <si>
    <t>Ostatné výnosy zo študentských domovov</t>
  </si>
  <si>
    <t>1) výnosy a náklady z podnikateľskej činnosti sa neuvádzajú</t>
  </si>
  <si>
    <t>Výnosy z poplatkov za ubytovanie od študentov počas výučbového obdobia (10 mesiacov)</t>
  </si>
  <si>
    <t>1) výnosy a náklady z podnikateľskej činnosti sa neuvádzajú, neuvádzajú sa ani výnosy a náklady súvisiace so stravovaním zamestnancov</t>
  </si>
  <si>
    <t>- tržby za stravné lístky študentov</t>
  </si>
  <si>
    <t>- ostatné tržby súvisiace so stravovaním študentov</t>
  </si>
  <si>
    <r>
      <t>Tržby jedální súvisiace so stravovaním študentov v kalendárnom roku spolu</t>
    </r>
    <r>
      <rPr>
        <sz val="12"/>
        <rFont val="Times New Roman"/>
        <family val="1"/>
      </rPr>
      <t xml:space="preserve"> [R3+R4]</t>
    </r>
  </si>
  <si>
    <r>
      <t xml:space="preserve"> - náklady na jedlá študentov</t>
    </r>
    <r>
      <rPr>
        <vertAlign val="superscript"/>
        <sz val="12"/>
        <rFont val="Times New Roman"/>
        <family val="1"/>
        <charset val="238"/>
      </rPr>
      <t>3)</t>
    </r>
  </si>
  <si>
    <r>
      <t>Dotácia na uskutočňovanie akreditovaných študijných programov</t>
    </r>
    <r>
      <rPr>
        <sz val="12"/>
        <rFont val="Times New Roman"/>
        <family val="1"/>
      </rPr>
      <t xml:space="preserve"> [R2]</t>
    </r>
  </si>
  <si>
    <r>
      <t>Dotácia na výskumnú, vývojovú alebo umeleckú činnosť</t>
    </r>
    <r>
      <rPr>
        <sz val="12"/>
        <rFont val="Times New Roman"/>
        <family val="1"/>
      </rPr>
      <t xml:space="preserve"> [R4+R5+R6+R7+R8]</t>
    </r>
  </si>
  <si>
    <r>
      <t>Dotácia na rozvoj vysokej školy</t>
    </r>
    <r>
      <rPr>
        <sz val="12"/>
        <rFont val="Times New Roman"/>
        <family val="1"/>
      </rPr>
      <t xml:space="preserve"> [R10]</t>
    </r>
  </si>
  <si>
    <r>
      <t>Dotácia na sociálnu podporu študentov</t>
    </r>
    <r>
      <rPr>
        <sz val="12"/>
        <rFont val="Times New Roman"/>
        <family val="1"/>
      </rPr>
      <t xml:space="preserve"> [R12+R13+R14]</t>
    </r>
  </si>
  <si>
    <r>
      <t>Spolu</t>
    </r>
    <r>
      <rPr>
        <sz val="12"/>
        <rFont val="Times New Roman"/>
        <family val="1"/>
      </rPr>
      <t xml:space="preserve"> [R1+R3+R9+R11]</t>
    </r>
  </si>
  <si>
    <t>nadrezortná veda a technika</t>
  </si>
  <si>
    <t>Výnosy z poplatkov za ubytovanie od študentov počas hlavných prázdnin (od interných doktorandov) a počty ubytovaných študentov</t>
  </si>
  <si>
    <r>
      <t xml:space="preserve">Výnosy zo študentských domovov v kalendárnom roku spolu </t>
    </r>
    <r>
      <rPr>
        <sz val="12"/>
        <rFont val="Times New Roman"/>
        <family val="1"/>
      </rPr>
      <t>[SUM(R4:R7)]</t>
    </r>
  </si>
  <si>
    <r>
      <t xml:space="preserve">Náklady študentských domovov  spolu </t>
    </r>
    <r>
      <rPr>
        <sz val="12"/>
        <rFont val="Times New Roman"/>
        <family val="1"/>
      </rPr>
      <t>[R10+R11]</t>
    </r>
  </si>
  <si>
    <r>
      <t xml:space="preserve">Rozdiel výnosov a nákladov na študentské domovy v kalendárnom roku  </t>
    </r>
    <r>
      <rPr>
        <sz val="12"/>
        <rFont val="Times New Roman"/>
        <family val="1"/>
      </rPr>
      <t>[R8-R9]</t>
    </r>
  </si>
  <si>
    <r>
      <t xml:space="preserve">Priemerné ročné náklady na jedného ubytovaného študenta </t>
    </r>
    <r>
      <rPr>
        <sz val="12"/>
        <rFont val="Times New Roman"/>
        <family val="1"/>
        <charset val="238"/>
      </rPr>
      <t>[R9/R3]</t>
    </r>
  </si>
  <si>
    <t xml:space="preserve">Daň z motorových vozidiel (účet 531) </t>
  </si>
  <si>
    <t>Nákup pozemkov a nehmotných aktív</t>
  </si>
  <si>
    <t xml:space="preserve">2) V stĺpcoch B a D sa uvádza celkový (fyzický) počet študentov, ktorým bolo v príslušnom kalendárnom roku poskytnuté sociálne štipendium bez ohľadu na počet mesiacov.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</si>
  <si>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</si>
  <si>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</si>
  <si>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r>
      <t xml:space="preserve">- tvorba fondu z hospodárskeho výsledku (účet 413  111)  </t>
    </r>
    <r>
      <rPr>
        <vertAlign val="superscript"/>
        <sz val="12"/>
        <rFont val="Times New Roman"/>
        <family val="1"/>
        <charset val="238"/>
      </rPr>
      <t xml:space="preserve">1) </t>
    </r>
  </si>
  <si>
    <t>- tvorba fondu prevodom z rezervného fondu (účet  413 114)</t>
  </si>
  <si>
    <t>- tvorba fondu z darov a z dedičstva (účet 413 112)</t>
  </si>
  <si>
    <t>- tvorba fondu z odpisov (účet 413 116)</t>
  </si>
  <si>
    <r>
      <t xml:space="preserve">- ostatná tvorba (účet 413 113) </t>
    </r>
    <r>
      <rPr>
        <vertAlign val="superscript"/>
        <sz val="12"/>
        <rFont val="Times New Roman"/>
        <family val="1"/>
        <charset val="238"/>
      </rPr>
      <t xml:space="preserve">2) </t>
    </r>
  </si>
  <si>
    <t>1b</t>
  </si>
  <si>
    <t>2b</t>
  </si>
  <si>
    <t>3b</t>
  </si>
  <si>
    <t>4b</t>
  </si>
  <si>
    <t>15b</t>
  </si>
  <si>
    <t>15c</t>
  </si>
  <si>
    <t>15d</t>
  </si>
  <si>
    <t xml:space="preserve">Názov verejnej vysokej školy: </t>
  </si>
  <si>
    <t xml:space="preserve">    - bežný účet na riešenie úloh vedy a
      výskumu  zo SR, resp.zahraničia </t>
  </si>
  <si>
    <t>Priemerný mesačný náklad na doktoranda</t>
  </si>
  <si>
    <t xml:space="preserve"> - Podprogram 06K 12            </t>
  </si>
  <si>
    <t>8a</t>
  </si>
  <si>
    <r>
      <t xml:space="preserve">Program 06K </t>
    </r>
    <r>
      <rPr>
        <sz val="12"/>
        <rFont val="Times New Roman"/>
        <family val="1"/>
        <charset val="238"/>
      </rPr>
      <t>[SUM(R2+R3+R4+R5)]</t>
    </r>
  </si>
  <si>
    <t>Ostatné dotácie [SUM(R8a..R8x)]</t>
  </si>
  <si>
    <t>Účet</t>
  </si>
  <si>
    <t>Polož. výkaz. NUJ</t>
  </si>
  <si>
    <t>Čislo riadku</t>
  </si>
  <si>
    <t>A. NEOBEŽNÝ MAJETOK SPOLU r.002+r.009+r.021</t>
  </si>
  <si>
    <t>001</t>
  </si>
  <si>
    <t>1. Dlhodobý nehmotný majetok r.003 až r.008</t>
  </si>
  <si>
    <t>002</t>
  </si>
  <si>
    <t>Nehmotné výsledky z vývojovej a obdob.činnosti 012-(072+091A</t>
  </si>
  <si>
    <t>003</t>
  </si>
  <si>
    <t>Softvér 013-(073+091AÚ)</t>
  </si>
  <si>
    <t>004</t>
  </si>
  <si>
    <t>005</t>
  </si>
  <si>
    <t>Ostatný.dlhodob.nehmot.majetok(018+019)-(078+079+091AÚ)</t>
  </si>
  <si>
    <t>006</t>
  </si>
  <si>
    <t>Obstaranie dlhodobého nehmotného majetku (041-093)</t>
  </si>
  <si>
    <t>007</t>
  </si>
  <si>
    <t>Poskytnut.preddavky na dlhodob.nehmot.majetok (051-095AÚ)</t>
  </si>
  <si>
    <t>008</t>
  </si>
  <si>
    <t>2. Dlhodobý hmotný majetok (r. 010 až r. 020)</t>
  </si>
  <si>
    <t>009</t>
  </si>
  <si>
    <t>Pozemky (031)</t>
  </si>
  <si>
    <t>010</t>
  </si>
  <si>
    <t>Umelecké diela a zbierky (032)</t>
  </si>
  <si>
    <t>011</t>
  </si>
  <si>
    <t>Stavby 021-(081-092AÚ)</t>
  </si>
  <si>
    <t>012</t>
  </si>
  <si>
    <t>Samostatné hnuteľné veci a súbory hnuteľných vecí (022 - (08</t>
  </si>
  <si>
    <t>013</t>
  </si>
  <si>
    <t>Dopravné prostriedky (023 - (083+092AÚ))</t>
  </si>
  <si>
    <t>014</t>
  </si>
  <si>
    <t>Pestovateľské celky trvalých porastov (025 - (085 + 092AÚ))</t>
  </si>
  <si>
    <t>015</t>
  </si>
  <si>
    <t>Základné stádo a ťažné zvieratá (026 - (086 + 092AÚ))</t>
  </si>
  <si>
    <t>016</t>
  </si>
  <si>
    <t>Drobný dlhodobý hmotný majetok (028 - (088 + 092AÚ))</t>
  </si>
  <si>
    <t>017</t>
  </si>
  <si>
    <t>Ostatný dlhodobý hmotný majetok (029 - (089 +092AÚ))</t>
  </si>
  <si>
    <t>018</t>
  </si>
  <si>
    <t>Obstaranie dlhodobého hmotného majetku (042 - 094)</t>
  </si>
  <si>
    <t>019</t>
  </si>
  <si>
    <t>Poskytnuté preddavky na dlhodob.hmot.majetok (052-095AÚ)</t>
  </si>
  <si>
    <t>020</t>
  </si>
  <si>
    <t>3. Dlhodobý finančný majetok r.022 až r.028</t>
  </si>
  <si>
    <t>021</t>
  </si>
  <si>
    <t>Podiel.cen.papier.a podiely v obchod.spol.v ovládan.osobe (0</t>
  </si>
  <si>
    <t>022</t>
  </si>
  <si>
    <t>Podiel.cen.papiere a podiely v obchod.spol.s podstat.vplyvom</t>
  </si>
  <si>
    <t>023</t>
  </si>
  <si>
    <t>Dlhové cenné papiere držané do splatnosti (065 - 096 AÚ)</t>
  </si>
  <si>
    <t>024</t>
  </si>
  <si>
    <t>Pôžičky podnikom v skup.a ostat.pôžičky (066+067)-096AÚ</t>
  </si>
  <si>
    <t>025</t>
  </si>
  <si>
    <t>Ostatný dlhodobý finančný majetok (069-096AÚ)</t>
  </si>
  <si>
    <t>026</t>
  </si>
  <si>
    <t>Obstaranie dlhodobého finančného majetku (043 - 096AÚ)</t>
  </si>
  <si>
    <t>027</t>
  </si>
  <si>
    <t>Poskytnuté preddavky na dlhodobý finančný majetok (053 - 096</t>
  </si>
  <si>
    <t>028</t>
  </si>
  <si>
    <t>B. OBEŽNÝ MAJETOK SPOLU r.030+r.037+r.042+r.051</t>
  </si>
  <si>
    <t>029</t>
  </si>
  <si>
    <t>1. Zásoby r.031 až r.036</t>
  </si>
  <si>
    <t>030</t>
  </si>
  <si>
    <t>Materiál (112+119) -191</t>
  </si>
  <si>
    <t>031</t>
  </si>
  <si>
    <t>Nedokonč.výroba a polotovary vlast.výroby (121+122)-(192+193</t>
  </si>
  <si>
    <t>032</t>
  </si>
  <si>
    <t>Výrobky (123-194)</t>
  </si>
  <si>
    <t>033</t>
  </si>
  <si>
    <t>Zvieratá (124-195)</t>
  </si>
  <si>
    <t>034</t>
  </si>
  <si>
    <t>Tovar (132+139)-196</t>
  </si>
  <si>
    <t>035</t>
  </si>
  <si>
    <t>Poskytnuté prevádzkové preddavky na zásoby (314AÚ-391AÚ)</t>
  </si>
  <si>
    <t>036</t>
  </si>
  <si>
    <t>2. Dlhodobé pohľadávky (r.038 až 041)</t>
  </si>
  <si>
    <t>037</t>
  </si>
  <si>
    <t>Pohľadávky z obchod.styku (311AÚ až 314AÚ) - 391AÚ</t>
  </si>
  <si>
    <t>038</t>
  </si>
  <si>
    <t>Ostatné pohľadávky (315AÚ - 391AÚ)</t>
  </si>
  <si>
    <t>039</t>
  </si>
  <si>
    <t>Pohľadávky voči účastníkom združení (358AÚ - 391AÚ)</t>
  </si>
  <si>
    <t>040</t>
  </si>
  <si>
    <t>Iné pohľadávky (335AÚ+373AÚ+375AÚ+378AÚ) -391AÚ</t>
  </si>
  <si>
    <t>041</t>
  </si>
  <si>
    <t>3. Krátkodobé pohľadávky r.043 až r.050</t>
  </si>
  <si>
    <t>042</t>
  </si>
  <si>
    <t>Pohľadávky z obchodného styku (311AÚ až 314AÚ) - 391AÚ</t>
  </si>
  <si>
    <t>043</t>
  </si>
  <si>
    <t>044</t>
  </si>
  <si>
    <t>Zúčtovanie zo Sociálnou poisť. a zdravot.poisťovňami (336)</t>
  </si>
  <si>
    <t>045</t>
  </si>
  <si>
    <t>Daňové pohľadávky (341 až 345)</t>
  </si>
  <si>
    <t>046</t>
  </si>
  <si>
    <t>Pohľ.z dôvodu fin.vzťahov k ŠR a rozpočtom úz.správ (346+348</t>
  </si>
  <si>
    <t>047</t>
  </si>
  <si>
    <t>048</t>
  </si>
  <si>
    <t>Spojovací účet pri združení (396-391AÚ)</t>
  </si>
  <si>
    <t>049</t>
  </si>
  <si>
    <t>050</t>
  </si>
  <si>
    <t>4. Finančné účty r.052 až 056</t>
  </si>
  <si>
    <t>051</t>
  </si>
  <si>
    <t>Pokladnica (211+213)</t>
  </si>
  <si>
    <t>052</t>
  </si>
  <si>
    <t>Bankové účty (221AÚ+261)</t>
  </si>
  <si>
    <t>053</t>
  </si>
  <si>
    <t>Bankové účty s dobou viazanosti dlhšou ako jeden rok (221AÚ)</t>
  </si>
  <si>
    <t>054</t>
  </si>
  <si>
    <t>Krátkodobý finančný majetok (251+253+255+256+257)-291AÚ</t>
  </si>
  <si>
    <t>055</t>
  </si>
  <si>
    <t>Obstaranie krátkodobého finančného majetku (259 -291AÚ)</t>
  </si>
  <si>
    <t>056</t>
  </si>
  <si>
    <t>C. ČASOVÉ ROZLÍŠENIE SPOLU r.058 a r.059</t>
  </si>
  <si>
    <t>057</t>
  </si>
  <si>
    <t>1. Náklady budúcich období (381)</t>
  </si>
  <si>
    <t>058</t>
  </si>
  <si>
    <t>Príjmy budúcich období (385)</t>
  </si>
  <si>
    <t>059</t>
  </si>
  <si>
    <t>MAJETOK SPOLU r.001 + r.029 + r.057</t>
  </si>
  <si>
    <t>060</t>
  </si>
  <si>
    <t>Celkový výsledok</t>
  </si>
  <si>
    <t>Korekcia</t>
  </si>
  <si>
    <t>Netto</t>
  </si>
  <si>
    <t>Predch. účt. obdobie</t>
  </si>
  <si>
    <t>Tabuľka č. 24: Súvaha - Strana aktív</t>
  </si>
  <si>
    <t xml:space="preserve">   Oceniteľné práva 014-(074+091AÚ)</t>
  </si>
  <si>
    <t xml:space="preserve"> Brutto
(v Eur)</t>
  </si>
  <si>
    <t>Číslo účtu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</si>
  <si>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</si>
  <si>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</si>
  <si>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</si>
  <si>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</si>
  <si>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</si>
  <si>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</si>
  <si>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</si>
  <si>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</si>
  <si>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</si>
  <si>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</si>
  <si>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</si>
  <si>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</si>
  <si>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</si>
  <si>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</si>
  <si>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</si>
  <si>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</si>
  <si>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</si>
  <si>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</si>
  <si>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</si>
  <si>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</si>
  <si>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</si>
  <si>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</si>
  <si>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</si>
  <si>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</si>
  <si>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</si>
  <si>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</si>
  <si>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</si>
  <si>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</si>
  <si>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</si>
  <si>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</si>
  <si>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</si>
  <si>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</si>
  <si>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</si>
  <si>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</si>
  <si>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</si>
  <si>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</si>
  <si>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</si>
  <si>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</si>
  <si>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</si>
  <si>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</si>
  <si>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</si>
  <si>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</si>
  <si>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</si>
  <si>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</si>
  <si>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</si>
  <si>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</si>
  <si>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</si>
  <si>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</si>
  <si>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</si>
  <si>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</si>
  <si>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</si>
  <si>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</si>
  <si>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</si>
  <si>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</si>
  <si>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</si>
  <si>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</si>
  <si>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</si>
  <si>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</si>
  <si>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</si>
  <si>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</si>
  <si>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</si>
  <si>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</si>
  <si>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</si>
  <si>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</si>
  <si>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</si>
  <si>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</si>
  <si>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</si>
  <si>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</si>
  <si>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</si>
  <si>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</si>
  <si>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</si>
  <si>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</si>
  <si>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38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</si>
  <si>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</si>
  <si>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</si>
  <si>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</si>
  <si>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</si>
  <si>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</si>
  <si>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</si>
  <si>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</si>
  <si>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</si>
  <si>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</si>
  <si>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</si>
  <si>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</si>
  <si>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</si>
  <si>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</si>
  <si>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</si>
  <si>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</si>
  <si>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</si>
  <si>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</si>
  <si>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</si>
  <si>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</si>
  <si>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</si>
  <si>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</si>
  <si>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</si>
  <si>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</si>
  <si>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</si>
  <si>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</si>
  <si>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</si>
  <si>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</si>
  <si>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</si>
  <si>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</si>
  <si>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</si>
  <si>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</si>
  <si>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</si>
  <si>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</si>
  <si>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</si>
  <si>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</si>
  <si>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</si>
  <si>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</si>
  <si>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</si>
  <si>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</si>
  <si>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</si>
  <si>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</si>
  <si>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</si>
  <si>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</si>
  <si>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</si>
  <si>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</si>
  <si>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</si>
  <si>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</si>
  <si>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</si>
  <si>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</si>
  <si>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</si>
  <si>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</si>
  <si>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</si>
  <si>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</si>
  <si>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</si>
  <si>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</si>
  <si>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</si>
  <si>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</si>
  <si>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</si>
  <si>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</si>
  <si>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</si>
  <si>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</si>
  <si>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</si>
  <si>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</si>
  <si>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</si>
  <si>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</si>
  <si>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</si>
  <si>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</si>
  <si>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</si>
  <si>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</si>
  <si>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</si>
  <si>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</si>
  <si>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</si>
  <si>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</si>
  <si>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</si>
  <si>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</si>
  <si>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</si>
  <si>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r>
      <t>Spolu</t>
    </r>
    <r>
      <rPr>
        <sz val="12"/>
        <rFont val="Times New Roman"/>
        <family val="1"/>
      </rPr>
      <t xml:space="preserve"> [R1+R6+R7+R8]</t>
    </r>
  </si>
  <si>
    <r>
      <t xml:space="preserve">2) všetky údaje o výnosoch a nákladoch  sa uvádzajú </t>
    </r>
    <r>
      <rPr>
        <sz val="11"/>
        <rFont val="Times New Roman"/>
        <family val="1"/>
        <charset val="238"/>
      </rPr>
      <t>v Eur</t>
    </r>
  </si>
  <si>
    <t>Zamestnanci platení z dotácie MŠVVaŠ SR</t>
  </si>
  <si>
    <r>
      <t xml:space="preserve">4) uvádzajú sa </t>
    </r>
    <r>
      <rPr>
        <b/>
        <sz val="11"/>
        <rFont val="Times New Roman"/>
        <family val="1"/>
        <charset val="238"/>
      </rPr>
      <t>všetky jedlá vydané študentom v zmluvných zariadeniach</t>
    </r>
    <r>
      <rPr>
        <sz val="11"/>
        <rFont val="Times New Roman"/>
        <family val="1"/>
        <charset val="238"/>
      </rPr>
      <t>, na ktoré sa poskytuje dotácia</t>
    </r>
  </si>
  <si>
    <t xml:space="preserve">Nevyčerpaná dotácia (+) / nedoplatok dotácie (-) k 31. 12. predchádzajúceho roka  
[R4_SC = R6_SA]                         </t>
  </si>
  <si>
    <t>86a</t>
  </si>
  <si>
    <t>Projektovaná lôžková kapacita študentského domova k 31. 12. kalendárneho roka (v počte miest)</t>
  </si>
  <si>
    <t xml:space="preserve">1) V stĺpcoch B a D sa uvádza prepočítaný počet študentov určený ako počet osobomesiacov, počas ktorých bolo poskytované štipendium </t>
  </si>
  <si>
    <t>2) V stĺpcoch B a D sa uvádza celkový (fyzický) počet študentov, ktorým bolo v príslušnom roku poskytované štipendium .</t>
  </si>
  <si>
    <t>F = A+B+C+D+E</t>
  </si>
  <si>
    <t>J</t>
  </si>
  <si>
    <t>K</t>
  </si>
  <si>
    <t>10a</t>
  </si>
  <si>
    <t>G=A+B+C+D+E+F</t>
  </si>
  <si>
    <t>Poskytnuté príspevky z podielu zaplatenej dane</t>
  </si>
  <si>
    <t>Zost. cena predaného DNM a DHM</t>
  </si>
  <si>
    <t xml:space="preserve">zabezpečenie mobilít v súlade s medzinárodnými zmluvami </t>
  </si>
  <si>
    <t>Peniaze na ceste (účet 261)</t>
  </si>
  <si>
    <t xml:space="preserve">- prvýkrát sa započítavajú do evidenčného počtu zamestnancov vo fyzických osobách s plným týždenným pracovným časom, ktorý sa rovná ich prepočítanému počtu, a to pracovným úväzkom v hlavnom zamestnaní; </t>
  </si>
  <si>
    <t xml:space="preserve">- druhýkrát sa započítavajú do evidenčného počtu zamestnancov prepočítaného, a to svojím pracovným úväzkom v ďalšom pracovnom pomere. </t>
  </si>
  <si>
    <t xml:space="preserve">Do evidenčného počtu zamestnancov prepočítaného sa títo zamestnanci započítavajú dvakrát na rozdiel od evidenčného počtu zamestnancov vo fyzických osobách, v ktorom sú započítaní iba raz. </t>
  </si>
  <si>
    <t>T21_R1_SB + T11_R10a_SB - T5_R86a_SC = T21_R1_SH</t>
  </si>
  <si>
    <t>Čerpanie z iných zdrojov</t>
  </si>
  <si>
    <t>Náklady na mzdy  poskytované z prostriedkov štátneho rozpočtu   (v Eur)</t>
  </si>
  <si>
    <t>Náklady na mzdy poskytované z dotácie MŠVVaŠ SR  (v Eur)</t>
  </si>
  <si>
    <t>Náklady na mzdy poskytované z iných zdrojov 
 (v Eur)</t>
  </si>
  <si>
    <t>Náklady na mzdy spolu
 (v Eur)</t>
  </si>
  <si>
    <t>Finančné prostriedky  
 (v Eur)</t>
  </si>
  <si>
    <r>
      <t xml:space="preserve">Pre účely výpočtu počtu zamestnancov bola použitá metóda </t>
    </r>
    <r>
      <rPr>
        <sz val="12"/>
        <color indexed="8"/>
        <rFont val="Tahoma"/>
        <family val="2"/>
        <charset val="238"/>
      </rPr>
      <t xml:space="preserve">- </t>
    </r>
    <r>
      <rPr>
        <b/>
        <sz val="10"/>
        <color indexed="8"/>
        <rFont val="Tahoma"/>
        <family val="2"/>
        <charset val="238"/>
      </rPr>
      <t>Priemerný evidenčný počet zamestnancov - prepočítaný počet</t>
    </r>
    <r>
      <rPr>
        <sz val="10"/>
        <color indexed="8"/>
        <rFont val="Tahoma"/>
        <family val="2"/>
        <charset val="238"/>
      </rPr>
      <t xml:space="preserve"> - je aritmetickým priemerom denných evidenčných počtov zamestnancov 
za sledované obdobie prepočítaných na plnú zamestnanosť podľa dĺžky pracovných úväzkov zamestnancov, resp. podľa skutočne odpracovaných hodín. U zamestnancov, ktorí vykonávajú v organizácii činnosť v ďalšom pracovnom pomere, sa výpočet priemerného evidenčného počtu zamestnancov prepočítaného na plne zamestnaných skladá z dvoch častí : </t>
    </r>
  </si>
  <si>
    <r>
      <t>Tvorba fondu v kalendárnom roku spolu</t>
    </r>
    <r>
      <rPr>
        <sz val="12"/>
        <color indexed="8"/>
        <rFont val="Times New Roman"/>
        <family val="1"/>
      </rPr>
      <t xml:space="preserve"> SUM(R3:R10) </t>
    </r>
  </si>
  <si>
    <t>- prenos zostatku dotácie do nasledujúceho kalendárneho roku [R6+R7-R15]</t>
  </si>
  <si>
    <t>Náklady na činnosť študentských jedální súvisiace so stravovaním študentov za kalendárny rok</t>
  </si>
  <si>
    <r>
      <t xml:space="preserve">Rozdiel výnosov a nákladov študentských jedální súvisiacich so stravovaním študentov  </t>
    </r>
    <r>
      <rPr>
        <sz val="12"/>
        <rFont val="Times New Roman"/>
        <family val="1"/>
        <charset val="238"/>
      </rPr>
      <t>[R1-R9]</t>
    </r>
  </si>
  <si>
    <r>
      <t xml:space="preserve">Počet vydaných jedál študentom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 </t>
    </r>
  </si>
  <si>
    <r>
      <t>- počet vydaných jedál študentom v zmluvných zariadeniach</t>
    </r>
    <r>
      <rPr>
        <vertAlign val="superscript"/>
        <sz val="12"/>
        <rFont val="Times New Roman"/>
        <family val="1"/>
        <charset val="238"/>
      </rPr>
      <t xml:space="preserve"> 4)</t>
    </r>
  </si>
  <si>
    <r>
      <t xml:space="preserve">Nárok na príspevok zo štátneho rozpočtu na jedlá podľa metodiky </t>
    </r>
    <r>
      <rPr>
        <sz val="12"/>
        <rFont val="Times New Roman"/>
        <family val="1"/>
      </rPr>
      <t xml:space="preserve">                                     </t>
    </r>
  </si>
  <si>
    <t>Číslo účtu/Poznámka</t>
  </si>
  <si>
    <t xml:space="preserve"> - štipendiá doktorandov  (účet 549 001, 549 016, 549 017)</t>
  </si>
  <si>
    <r>
      <t xml:space="preserve">Dotácie z kapitol štátneho rozpočtu okrem kapitoly MŠVVaŠ SR </t>
    </r>
    <r>
      <rPr>
        <sz val="12"/>
        <rFont val="Times New Roman"/>
        <family val="1"/>
      </rPr>
      <t xml:space="preserve"> (na zdroji 111) [SUM(R1a:R1...)]</t>
    </r>
  </si>
  <si>
    <t>Nórsky a finančný mechanizmus patrí do R3 (ide o prostriedky poskytnuté Úradom vlády SR, na inom zdroji ako 111)</t>
  </si>
  <si>
    <t>Príjem z dotácie poskytnutej na sociálne štipendiá v rámci dotačnej zmluvy z kapitoly     MŠVVaŠ k 31.12.</t>
  </si>
  <si>
    <t>Fond na podporu štúdia študentov so špecifickými potrebami</t>
  </si>
  <si>
    <t>Účtová trieda 5 spolu r.01 až r.37</t>
  </si>
  <si>
    <r>
      <t xml:space="preserve">Počet študentov poberajúcich sociálne štipendiá </t>
    </r>
    <r>
      <rPr>
        <b/>
        <sz val="12"/>
        <rFont val="Times New Roman"/>
        <family val="1"/>
        <charset val="238"/>
      </rPr>
      <t xml:space="preserve"> </t>
    </r>
    <r>
      <rPr>
        <b/>
        <vertAlign val="superscript"/>
        <sz val="14"/>
        <rFont val="Times New Roman"/>
        <family val="1"/>
        <charset val="238"/>
      </rPr>
      <t>2)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</si>
  <si>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)</t>
    </r>
    <r>
      <rPr>
        <b/>
        <sz val="12"/>
        <color indexed="10"/>
        <rFont val="Times New Roman"/>
        <family val="1"/>
        <charset val="238"/>
      </rPr>
      <t xml:space="preserve"> </t>
    </r>
  </si>
  <si>
    <t>Zvyšok prijatej kapitálovej dotácie zo štátneho rozpočtu používanej na kompenzáciu odpisov majetku z nej obstaraného</t>
  </si>
  <si>
    <r>
      <t xml:space="preserve">Zvyšok prijatej kapitálovej dotácie </t>
    </r>
    <r>
      <rPr>
        <b/>
        <sz val="10"/>
        <color indexed="8"/>
        <rFont val="Times New Roman"/>
        <family val="1"/>
        <charset val="238"/>
      </rPr>
      <t>z prostriedkov EÚ (štrukturálnych fondov)</t>
    </r>
    <r>
      <rPr>
        <b/>
        <sz val="12"/>
        <color indexed="8"/>
        <rFont val="Times New Roman"/>
        <family val="1"/>
        <charset val="238"/>
      </rPr>
      <t xml:space="preserve"> používanej na kompenzáciu odpisov majetku z nej obstaraného</t>
    </r>
  </si>
  <si>
    <r>
      <t>Priemerné náklady  na jedlo študenta v Eur [</t>
    </r>
    <r>
      <rPr>
        <sz val="12"/>
        <rFont val="Times New Roman"/>
        <family val="1"/>
        <charset val="238"/>
      </rPr>
      <t>R10</t>
    </r>
    <r>
      <rPr>
        <sz val="12"/>
        <rFont val="Times New Roman"/>
        <family val="1"/>
      </rPr>
      <t>/R13]</t>
    </r>
  </si>
  <si>
    <t xml:space="preserve">Náklady / Výnosy </t>
  </si>
  <si>
    <r>
      <t>Nevyčerpaná dotácia (+) / nedoplatok dotácie (-) na motivačné štipendiá</t>
    </r>
    <r>
      <rPr>
        <b/>
        <sz val="12"/>
        <rFont val="Times New Roman"/>
        <family val="1"/>
        <charset val="238"/>
      </rPr>
      <t xml:space="preserve"> k 31. 12. predchádzajúceho kalendárneho roka</t>
    </r>
    <r>
      <rPr>
        <sz val="12"/>
        <rFont val="Times New Roman"/>
        <family val="1"/>
        <charset val="238"/>
      </rPr>
      <t xml:space="preserve">     </t>
    </r>
    <r>
      <rPr>
        <b/>
        <sz val="12"/>
        <rFont val="Times New Roman"/>
        <family val="1"/>
        <charset val="238"/>
      </rPr>
      <t xml:space="preserve">     </t>
    </r>
  </si>
  <si>
    <r>
      <t>Výdavky na motivačné štipendiá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v kalendárnom roku </t>
    </r>
    <r>
      <rPr>
        <b/>
        <vertAlign val="superscript"/>
        <sz val="12"/>
        <rFont val="Times New Roman"/>
        <family val="1"/>
        <charset val="238"/>
      </rPr>
      <t/>
    </r>
  </si>
  <si>
    <t>x</t>
  </si>
  <si>
    <t>Náklady spolu</t>
  </si>
  <si>
    <r>
      <t>Dotácia na kapitálové výdavky z prostriedkov EÚ (štrukturálnych fondov</t>
    </r>
    <r>
      <rPr>
        <b/>
        <sz val="12"/>
        <rFont val="Times New Roman"/>
        <family val="1"/>
        <charset val="238"/>
      </rPr>
      <t xml:space="preserve"> vrátane spolufinancovania)</t>
    </r>
  </si>
  <si>
    <r>
      <t>Zostatok kapitálovej dotácie z predchádzajúceho roku</t>
    </r>
    <r>
      <rPr>
        <b/>
        <sz val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(z dotácií na R10 a R10a)</t>
    </r>
  </si>
  <si>
    <r>
      <t>Iné zdroje na obstaranie a technické zhodnotenie dlhodobého majetku</t>
    </r>
    <r>
      <rPr>
        <b/>
        <sz val="12"/>
        <rFont val="Times New Roman"/>
        <family val="1"/>
        <charset val="238"/>
      </rPr>
      <t xml:space="preserve"> (v danom roku vrátane zostatkov na týchto zdrojoch)</t>
    </r>
  </si>
  <si>
    <t xml:space="preserve">  - príspevok na úhradu výdavkov zahraničných študentov/lektorov  (649 016)</t>
  </si>
  <si>
    <t>- knihy, časopisy a noviny  (účet 501 001,501 051)</t>
  </si>
  <si>
    <t>- kancelárske potreby a materiál   (účet 501 003, 501 053)</t>
  </si>
  <si>
    <t>- papier  (účet 501 004, 501 054)</t>
  </si>
  <si>
    <t>- pohonné hmoty a ostatný materiál na dopravu  (účet 501 007, 501 057)</t>
  </si>
  <si>
    <t>- čistiace, hygienické a dezinfekčné potreby (účet 501 008, 501 020)</t>
  </si>
  <si>
    <t>- elektrická energia (účet 502 001, 502 051)</t>
  </si>
  <si>
    <t>- tepelná energia  (účet 502 002, 502 052)</t>
  </si>
  <si>
    <t>- vodné a stočné  (účet 502 003, 502 053)</t>
  </si>
  <si>
    <t>- plyn  (účet 502 004, 502 054)</t>
  </si>
  <si>
    <t>- palivá  (účet 502 005, 502 055)</t>
  </si>
  <si>
    <t>- domáce cestovné  (účet 512 001, 512 051)</t>
  </si>
  <si>
    <t>- telefón, fax  (účet 518 006, 518 056)</t>
  </si>
  <si>
    <t>- poštovné  (účet 518 008, 518 058)</t>
  </si>
  <si>
    <t>- odvoz odpadu  (účet 518 009, 518 059)</t>
  </si>
  <si>
    <t xml:space="preserve"> - odpisy DN a HM nadobudnutého z kapitálových dotácií zo ŠR 
(účet 551 100, 551 121, 551 123, 551 001, 551 003)</t>
  </si>
  <si>
    <t>Pozn.</t>
  </si>
  <si>
    <r>
      <t>Tržby z predaja služieb (účet 602)</t>
    </r>
    <r>
      <rPr>
        <sz val="12"/>
        <color indexed="8"/>
        <rFont val="Times New Roman"/>
        <family val="1"/>
      </rPr>
      <t xml:space="preserve"> [SUM(R7:R10)] </t>
    </r>
  </si>
  <si>
    <r>
      <t>Úroky (účet 644)</t>
    </r>
    <r>
      <rPr>
        <sz val="12"/>
        <color indexed="8"/>
        <rFont val="Times New Roman"/>
        <family val="1"/>
      </rPr>
      <t xml:space="preserve"> [R17+R18]</t>
    </r>
  </si>
  <si>
    <t>(uviesť zoznam všetkých dotácií, každú na zvláštny riadok, napr. podprogram 026 05)</t>
  </si>
  <si>
    <t>uvádzajú sa štipendiá vyplatené zo štátneho rozpočtu, kód v CRŠ: 1</t>
  </si>
  <si>
    <t>- iné analyticky sledované náklady (účet 511 006-008, 511 056)</t>
  </si>
  <si>
    <t xml:space="preserve"> - poistné náklady (havarijné, majetok, na študentov) (účet 549 004, 549 014, 549 015, 549 054)</t>
  </si>
  <si>
    <t>Priemerné platy</t>
  </si>
  <si>
    <t>I=H/D/12</t>
  </si>
  <si>
    <t>- vysokoškolskí učitelia s funkčným zaradením "profesor"                 *)</t>
  </si>
  <si>
    <t>*) medzi profesorov sa započítava aj funkčné zaradenie "hosťujúci profesor"</t>
  </si>
  <si>
    <t xml:space="preserve">- náklady na tvorbu ostatných fondov (účty  556 510, 556 520) </t>
  </si>
  <si>
    <t>- ostatných fondov (účet  656 510, 656 520)</t>
  </si>
  <si>
    <t>- náklady na tvorbu fondu na podporu štúdia študentov so špecifickými potrebami 
  (účet 556 300)</t>
  </si>
  <si>
    <t>- fondu na podporu štúdia študentov so špecifickými potrebami 
  (účet 656 300)</t>
  </si>
  <si>
    <r>
      <t xml:space="preserve">zdroj 11S2; </t>
    </r>
    <r>
      <rPr>
        <b/>
        <sz val="12"/>
        <color indexed="10"/>
        <rFont val="Times New Roman"/>
        <family val="1"/>
        <charset val="238"/>
      </rPr>
      <t>13S2</t>
    </r>
  </si>
  <si>
    <r>
      <t>zdroj 11T  +</t>
    </r>
    <r>
      <rPr>
        <b/>
        <sz val="12"/>
        <color indexed="10"/>
        <rFont val="Times New Roman"/>
        <family val="1"/>
        <charset val="238"/>
      </rPr>
      <t xml:space="preserve"> 13T</t>
    </r>
    <r>
      <rPr>
        <b/>
        <sz val="12"/>
        <rFont val="Times New Roman"/>
        <family val="1"/>
        <charset val="238"/>
      </rPr>
      <t xml:space="preserve"> spolu</t>
    </r>
  </si>
  <si>
    <r>
      <t xml:space="preserve">zdroj 11T1; </t>
    </r>
    <r>
      <rPr>
        <b/>
        <sz val="12"/>
        <color indexed="10"/>
        <rFont val="Times New Roman"/>
        <family val="1"/>
        <charset val="238"/>
      </rPr>
      <t>13T1</t>
    </r>
  </si>
  <si>
    <r>
      <t xml:space="preserve">zdroj 11T2; </t>
    </r>
    <r>
      <rPr>
        <b/>
        <sz val="12"/>
        <color indexed="10"/>
        <rFont val="Times New Roman"/>
        <family val="1"/>
        <charset val="238"/>
      </rPr>
      <t>13T2</t>
    </r>
  </si>
  <si>
    <r>
      <rPr>
        <vertAlign val="superscript"/>
        <sz val="12"/>
        <rFont val="Times New Roman"/>
        <family val="1"/>
        <charset val="238"/>
      </rPr>
      <t>1)</t>
    </r>
    <r>
      <rPr>
        <sz val="12"/>
        <rFont val="Times New Roman"/>
        <family val="1"/>
        <charset val="238"/>
      </rPr>
      <t xml:space="preserve">  v riadku 6 sa uvádzajú len cudzinci, ktorým nevznikla povinnosť uhradiť školné z dôvodov uvedených v riadkoch 2 až 5</t>
    </r>
  </si>
  <si>
    <t>T21_R1_SA + T11_R10_SB -T5_R85_SC = T21_R1_SG</t>
  </si>
  <si>
    <r>
      <t xml:space="preserve">Krytie fondu finančnými prostriedkami na osobitnom bankovom účte </t>
    </r>
    <r>
      <rPr>
        <vertAlign val="superscript"/>
        <sz val="12"/>
        <rFont val="Times New Roman"/>
        <family val="1"/>
        <charset val="238"/>
      </rPr>
      <t xml:space="preserve">3) </t>
    </r>
    <r>
      <rPr>
        <sz val="11"/>
        <rFont val="Times New Roman"/>
        <family val="1"/>
        <charset val="238"/>
      </rPr>
      <t>k 31.12.</t>
    </r>
  </si>
  <si>
    <t>Fondy VVŠ</t>
  </si>
  <si>
    <t>uvádzajú sa len štipendiá vyplatené z vlastných zdrojov, v CRŠ kód 9</t>
  </si>
  <si>
    <r>
      <t xml:space="preserve">3) uvádzajú sa </t>
    </r>
    <r>
      <rPr>
        <b/>
        <sz val="11"/>
        <rFont val="Times New Roman"/>
        <family val="1"/>
        <charset val="238"/>
      </rPr>
      <t>jedlá vydané študentom len vo vlastnej jedálni</t>
    </r>
    <r>
      <rPr>
        <sz val="11"/>
        <rFont val="Times New Roman"/>
        <family val="1"/>
        <charset val="238"/>
      </rPr>
      <t>, na ktoré sa poskytuje dotácia</t>
    </r>
  </si>
  <si>
    <t>- počet vydaných jedál študentom vo vlastných stravovacích zariadeniach3)</t>
  </si>
  <si>
    <t>Výpočet</t>
  </si>
  <si>
    <t>Priemerné platy mužov</t>
  </si>
  <si>
    <t>Priemerné platy žien</t>
  </si>
  <si>
    <r>
      <t>Počet</t>
    </r>
    <r>
      <rPr>
        <b/>
        <sz val="12"/>
        <rFont val="Times New Roman"/>
        <family val="1"/>
        <charset val="238"/>
      </rPr>
      <t xml:space="preserve"> žien</t>
    </r>
    <r>
      <rPr>
        <b/>
        <sz val="12"/>
        <rFont val="Times New Roman"/>
        <family val="1"/>
      </rPr>
      <t xml:space="preserve"> platených z prostriedkov štátneho rozpočtu</t>
    </r>
  </si>
  <si>
    <r>
      <t>Ženy</t>
    </r>
    <r>
      <rPr>
        <b/>
        <sz val="12"/>
        <rFont val="Times New Roman"/>
        <family val="1"/>
      </rPr>
      <t xml:space="preserve"> platené z dotácie MŠVVaŠ SR</t>
    </r>
  </si>
  <si>
    <r>
      <t xml:space="preserve">Počet </t>
    </r>
    <r>
      <rPr>
        <b/>
        <sz val="12"/>
        <rFont val="Times New Roman"/>
        <family val="1"/>
        <charset val="238"/>
      </rPr>
      <t>žien</t>
    </r>
    <r>
      <rPr>
        <b/>
        <sz val="12"/>
        <rFont val="Times New Roman"/>
        <family val="1"/>
      </rPr>
      <t xml:space="preserve"> platených z iných zdrojov</t>
    </r>
  </si>
  <si>
    <r>
      <t xml:space="preserve">Počet </t>
    </r>
    <r>
      <rPr>
        <b/>
        <sz val="12"/>
        <rFont val="Times New Roman"/>
        <family val="1"/>
        <charset val="238"/>
      </rPr>
      <t>žien</t>
    </r>
    <r>
      <rPr>
        <b/>
        <sz val="12"/>
        <rFont val="Times New Roman"/>
        <family val="1"/>
      </rPr>
      <t xml:space="preserve"> spolu</t>
    </r>
  </si>
  <si>
    <r>
      <t xml:space="preserve">Do tabuľky sa uvádzajú aj </t>
    </r>
    <r>
      <rPr>
        <b/>
        <sz val="10"/>
        <color indexed="10"/>
        <rFont val="Times New Roman"/>
        <family val="1"/>
        <charset val="238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</si>
  <si>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t>L= G+H+I+J+K</t>
  </si>
  <si>
    <t>-za dosiahnutie vynikajúceho výsledku v oblasti štúdia [R6+R7]</t>
  </si>
  <si>
    <t>-za dosiahnutie vynikajúceho výsledku vo výskume a vývoji [R9+R10]</t>
  </si>
  <si>
    <r>
      <t xml:space="preserve">- za umeleckú alebo športovú činnosť </t>
    </r>
    <r>
      <rPr>
        <sz val="12"/>
        <rFont val="Times New Roman"/>
        <family val="1"/>
        <charset val="238"/>
      </rPr>
      <t xml:space="preserve">[R11+R12]  </t>
    </r>
    <r>
      <rPr>
        <b/>
        <sz val="12"/>
        <rFont val="Times New Roman"/>
        <family val="1"/>
        <charset val="238"/>
      </rPr>
      <t xml:space="preserve">                                                     </t>
    </r>
  </si>
  <si>
    <r>
      <t xml:space="preserve">- na sociálnu podporu </t>
    </r>
    <r>
      <rPr>
        <sz val="12"/>
        <rFont val="Times New Roman"/>
        <family val="1"/>
        <charset val="238"/>
      </rPr>
      <t>[R15+R16]</t>
    </r>
  </si>
  <si>
    <t>Zmeny stavu zásob vlastnej výroby (účtová skupina 611-614)</t>
  </si>
  <si>
    <t>Aktivácia (účet 621-624)</t>
  </si>
  <si>
    <t>Príspevky z podielu zaplatenej dane (účet 665)</t>
  </si>
  <si>
    <t>- ostatný materiál (účet 501 099, 501 030, 501 100, 501 599)</t>
  </si>
  <si>
    <t>- ostatné energie (502 099)</t>
  </si>
  <si>
    <t>- dopravné služby (účet 518 012, 518 512)</t>
  </si>
  <si>
    <t>- Náklady účtovnej skupiny 54  okrem nákladov účtu 549 (541 až 548)</t>
  </si>
  <si>
    <t>- ostatné náklady z účtovej skupiny 55 (účty 552, 553, 554, 557, 558, 559)</t>
  </si>
  <si>
    <t>- chemikálie a ostatný materiál pre zabezpečenie experimentálnej výučby  (účet 501 002, 501 052)</t>
  </si>
  <si>
    <t xml:space="preserve">    - Podpora štud. so špecifickými potrebami podľa §100  (549 018) </t>
  </si>
  <si>
    <t>81a</t>
  </si>
  <si>
    <t>- náklady na tvorbu fondu reprodukcie (účet 556 400) (z predaja a likvidácie majetku)</t>
  </si>
  <si>
    <t xml:space="preserve"> - štipendiá z vlastných zdrojov (549 007-010, 549 019, 549 020) </t>
  </si>
  <si>
    <t xml:space="preserve"> - ostatné iné náklady (účet 549 098, 549 099, 549 011, 549 013)</t>
  </si>
  <si>
    <t xml:space="preserve"> - iné analyticky sledované náklady (účet 549 005-006, 549 012)</t>
  </si>
  <si>
    <t>- tvorba fondu z výnosov z predaja (a likvidácie) majetku (účet 413 117)</t>
  </si>
  <si>
    <t>- iné analyticky sledované výnosy (účty 602 002-007, 602 011-019, 602 099, 602 199)</t>
  </si>
  <si>
    <t>- vložné na konferencie (649 018)</t>
  </si>
  <si>
    <t>Prijaté príspevky z verejných zbierok (667)</t>
  </si>
  <si>
    <t>- telekomunikačná technika  (713 003), komunikačná infraštruktúra (713 006)</t>
  </si>
  <si>
    <r>
      <t xml:space="preserve">Príjem z dotácie na motivačné štipendiá z kapitoly MŠVVaŠ SR v kalendárnom roku </t>
    </r>
    <r>
      <rPr>
        <sz val="12"/>
        <rFont val="Times New Roman"/>
        <family val="1"/>
        <charset val="238"/>
      </rPr>
      <t xml:space="preserve"> </t>
    </r>
  </si>
  <si>
    <r>
      <t>Nevyčerpaná dotácia (+) / nedoplatok dotácie (-) k 31. 12. kalendárneho roka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 [R1+R2-R3]                       </t>
    </r>
  </si>
  <si>
    <r>
      <t>Počet študentov, ktorým bolo priznané motivačné štipendium</t>
    </r>
    <r>
      <rPr>
        <b/>
        <vertAlign val="superscript"/>
        <sz val="12"/>
        <rFont val="Times New Roman"/>
        <family val="1"/>
        <charset val="238"/>
      </rPr>
      <t xml:space="preserve"> 1)</t>
    </r>
  </si>
  <si>
    <t xml:space="preserve">1) v riadku 5 sa uvedie celkový fyzický počet študentov (pričom 1 študent sa počíta za 1 fyzickú osobu), ktorým bolo vyplatené motivačné štipendium v kalendárnom roku </t>
  </si>
  <si>
    <t>2) uvádzajú sa len motivačné štipendiá vyplatené podľa § 96a, ods.1, písm. a) (kód CRŠ 19)</t>
  </si>
  <si>
    <t>3) uvádzajú sa len motivačné štipendiá vyplatené podľa § 96a, ods.1, písm. b) (kódy v  CRŠ: 4, 5, 6, 7, 8)</t>
  </si>
  <si>
    <r>
      <t xml:space="preserve">mot. štipendiá podľa 
§ 96a, ods.1, písm. a)
</t>
    </r>
    <r>
      <rPr>
        <b/>
        <sz val="12"/>
        <rFont val="Times New Roman"/>
        <family val="1"/>
        <charset val="238"/>
      </rPr>
      <t>(kód v CRŠ: 19)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</si>
  <si>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  <charset val="238"/>
      </rPr>
      <t>(kódy v  CRŠ: 4, 5, 6, 7, 8)</t>
    </r>
    <r>
      <rPr>
        <vertAlign val="superscript"/>
        <sz val="12"/>
        <rFont val="Times New Roman"/>
        <family val="1"/>
        <charset val="238"/>
      </rPr>
      <t>3)</t>
    </r>
  </si>
  <si>
    <t>- dary (účet 649 009) (646 001) (646 002)</t>
  </si>
  <si>
    <t>- zahraničné cestovné  (účet 512 002, 512 003,512 004, 512 052)</t>
  </si>
  <si>
    <t xml:space="preserve"> - odpisy ostatného DN a HM (účet 551 200, 551 221, 551 223, 551 400, 551 500, 551 900, 551 921, 551 923)</t>
  </si>
  <si>
    <t xml:space="preserve"> - odpisy DN a HM nadobudnutého z kapitálových dotácií z EÚ (zo štrukturálnych fondov) (účet 551 300, 551 321, 551 323 )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</si>
  <si>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</si>
  <si>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Stav k 31. 12. 2017</t>
  </si>
  <si>
    <t>Náklady
hlavnej činnosti
2017</t>
  </si>
  <si>
    <t>K=A+C+E+G+I</t>
  </si>
  <si>
    <t>L=B+D+F+H+J</t>
  </si>
  <si>
    <t>Výnos z dotácie zo štátneho rozpočtu na študentské domovy (vrátane zmluvných zariadení a valorizácie miezd ŠJ)</t>
  </si>
  <si>
    <t xml:space="preserve"> - príspevok zamestnancom na stravovanie  (účet 527 002, 527 052)</t>
  </si>
  <si>
    <r>
      <t>Poskytnuté príspevky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(účtová skupina 56: 562 a 563)</t>
    </r>
  </si>
  <si>
    <t>Daň z príjmov (účtová skupina 59: 591 až 595)</t>
  </si>
  <si>
    <t>v R90 ide o náklady na tvorbu FR z predaja a likvidácie majetku = T11R5=T13R5</t>
  </si>
  <si>
    <t>Prijaté príspevky od fyzických osôb 663</t>
  </si>
  <si>
    <t>C = A+B</t>
  </si>
  <si>
    <t>z  dotácií 
(ostatné kódy okrem kódu 13)</t>
  </si>
  <si>
    <t>- za súbežné štúdium v dennej forme  (§ 92 ods. 5, 648 026)</t>
  </si>
  <si>
    <t>- za prekročenie štandardnej dĺžky štúdia v dennej forme (§ 92 ods. 6) (648 001)</t>
  </si>
  <si>
    <t xml:space="preserve">- za prijímacie konanie (§ 92 ods. 12 zákona) (účet 648 003) </t>
  </si>
  <si>
    <t xml:space="preserve">- za rigorózne konanie (§ 92 ods. 13 zákona) (účet 648 004) </t>
  </si>
  <si>
    <t xml:space="preserve">- za vydanie diplomu za rigorózne konanie (§ 92 ods. 14 zákona)  (účet 648 005) </t>
  </si>
  <si>
    <t>- za vydanie dokladov o štúdiu a ich kópií (§ 92 ods. 15 zákona) (účet 648 006)</t>
  </si>
  <si>
    <t>- za vydanie dokladov o absolvovaní štúdia v štátnom jazyku a v jazyku požadovanom študentom a ich kópií  (§ 92 ods. 15 zákona) (účet 648 024)</t>
  </si>
  <si>
    <r>
      <t xml:space="preserve"> - za uznávanie rovnocennosti dokladov o štúdiu (§ 92 ods. 15 zákona) (účet 648 025) </t>
    </r>
    <r>
      <rPr>
        <vertAlign val="superscript"/>
        <sz val="12"/>
        <rFont val="Times New Roman"/>
        <family val="1"/>
        <charset val="238"/>
      </rPr>
      <t/>
    </r>
  </si>
  <si>
    <t>- poplatky za vydanie dokladov o absolvovaní štúdia (§92, ods. 15, účet 648 024)</t>
  </si>
  <si>
    <t>- poplatky za uznávanie rovnocennosti dokladov o štúdiu (§92, ods. 15, účet 648 025)</t>
  </si>
  <si>
    <t>- školné za prekročenie štandardnej dĺžky štúdia účet 648 001</t>
  </si>
  <si>
    <t>- školné od cudzincov (§ 92 ods. 9 zákona) účty  648 002, 648  023</t>
  </si>
  <si>
    <t>- poplatky za súbežné štúdium (§ 92, ods. 5) účet  648 026</t>
  </si>
  <si>
    <t>- poplatky za prijímacie konanie (§ 92, ods. 10)  účet 648 003</t>
  </si>
  <si>
    <t>- poplatky za rigorózne konanie (§ 92, ods. 11) účet 648 004</t>
  </si>
  <si>
    <t>- poplatky za rigorózne konanie - vydanie diplómu účet 648 005</t>
  </si>
  <si>
    <t xml:space="preserve">Pod pojmom "interný doktorand" sa rozumie doktorand , ktorému vysoká škola vypláca štipendium </t>
  </si>
  <si>
    <t>v zmysle § 54 zák. č. 131/2002 Z.z.o vysokých školách a o zmene a doplnení niektorých zákonov</t>
  </si>
  <si>
    <t>- ostatné služby (účet  518 035)</t>
  </si>
  <si>
    <t>kvartil q1 25%</t>
  </si>
  <si>
    <t>kvartil q3 75%</t>
  </si>
  <si>
    <t>medián *) = stredná hodnota</t>
  </si>
  <si>
    <r>
      <t>Výnosy zo školného</t>
    </r>
    <r>
      <rPr>
        <sz val="12"/>
        <color indexed="8"/>
        <rFont val="Times New Roman"/>
        <family val="1"/>
      </rPr>
      <t xml:space="preserve">  [SUM (R2:R5)]</t>
    </r>
  </si>
  <si>
    <t>- výnosy  účtu 648 (648 007-8, 648 016, 648 019, 648 022, 648 099)</t>
  </si>
  <si>
    <t>- ostatné výnosy (účty 649 012, 649 021, 649 098, 649 099)</t>
  </si>
  <si>
    <t>- iné analyticky sledované náklady (účty 501 005-006, 501 013-018, 501 019, 501 077, 501 515)</t>
  </si>
  <si>
    <t xml:space="preserve">- iné analyticky sledované náklady (účty 518 003, 518 013, 518 015-018, 518 020-030, 518 031-034 , 518 040, 518 041, 518 529, 518 530, 518 599, 518 099, ) </t>
  </si>
  <si>
    <r>
      <t>Zákonné poplatky-</t>
    </r>
    <r>
      <rPr>
        <sz val="11"/>
        <color rgb="FFFF0000"/>
        <rFont val="Times New Roman"/>
        <family val="1"/>
        <charset val="238"/>
      </rPr>
      <t>školné</t>
    </r>
  </si>
  <si>
    <r>
      <t xml:space="preserve">zdroj 11S  + </t>
    </r>
    <r>
      <rPr>
        <b/>
        <sz val="12"/>
        <color indexed="10"/>
        <rFont val="Times New Roman"/>
        <family val="1"/>
        <charset val="238"/>
      </rPr>
      <t xml:space="preserve">13S </t>
    </r>
    <r>
      <rPr>
        <b/>
        <sz val="12"/>
        <rFont val="Times New Roman"/>
        <family val="1"/>
        <charset val="238"/>
      </rPr>
      <t>spolu</t>
    </r>
  </si>
  <si>
    <r>
      <t xml:space="preserve">zdroj 11S1; </t>
    </r>
    <r>
      <rPr>
        <b/>
        <sz val="12"/>
        <color indexed="10"/>
        <rFont val="Times New Roman"/>
        <family val="1"/>
        <charset val="238"/>
      </rPr>
      <t>13S1</t>
    </r>
  </si>
  <si>
    <t>zdroj 1AA + 3AA spolu</t>
  </si>
  <si>
    <r>
      <t xml:space="preserve">Dotácie z kapitoly MŠVVaŠ SR spolu </t>
    </r>
    <r>
      <rPr>
        <sz val="12"/>
        <rFont val="Times New Roman"/>
        <family val="1"/>
        <charset val="238"/>
      </rPr>
      <t>[R1+R4+</t>
    </r>
    <r>
      <rPr>
        <sz val="12"/>
        <color rgb="FF0000FF"/>
        <rFont val="Times New Roman"/>
        <family val="1"/>
        <charset val="238"/>
      </rPr>
      <t>R7</t>
    </r>
    <r>
      <rPr>
        <sz val="12"/>
        <rFont val="Times New Roman"/>
        <family val="1"/>
        <charset val="238"/>
      </rPr>
      <t>]</t>
    </r>
  </si>
  <si>
    <r>
      <t xml:space="preserve">Dotácie z iných kapitol spolu </t>
    </r>
    <r>
      <rPr>
        <sz val="12"/>
        <rFont val="Times New Roman"/>
        <family val="1"/>
        <charset val="238"/>
      </rPr>
      <t>[R12+SUM(R15:R15a...)]</t>
    </r>
  </si>
  <si>
    <t>zdroj 1AC + 3AC spolu</t>
  </si>
  <si>
    <t>zdroj 1AC1+3AC1</t>
  </si>
  <si>
    <t>zdroj 1AC2+3AC2</t>
  </si>
  <si>
    <r>
      <t>Dotácie z prostriedkov EÚ spolu</t>
    </r>
    <r>
      <rPr>
        <sz val="12"/>
        <color indexed="8"/>
        <rFont val="Times New Roman"/>
        <family val="1"/>
      </rPr>
      <t xml:space="preserve"> [R10+R11]</t>
    </r>
  </si>
  <si>
    <t>zdroj 1AA1; 3AA1</t>
  </si>
  <si>
    <t>zdroj 1AA2; 3AA2</t>
  </si>
  <si>
    <t>Iné nezaradené</t>
  </si>
  <si>
    <r>
      <t>Tabuľka č. 1: Príjmy z dotácií verejnej vysokej škole zo štátneho rozpočtu z kapitoly MŠVVaŠ SR
 poskytnuté na základe Zmluvy o poskytnutí dotácie zo štátneho rozpočtu prostredníctvom rozpočtu Ministerstva školstva, vedy, výskumu a športu Slovenskej republiky na rok 2018</t>
    </r>
    <r>
      <rPr>
        <b/>
        <sz val="14"/>
        <color rgb="FFFF0000"/>
        <rFont val="Times New Roman"/>
        <family val="1"/>
        <charset val="238"/>
      </rPr>
      <t xml:space="preserve">  </t>
    </r>
    <r>
      <rPr>
        <b/>
        <sz val="14"/>
        <rFont val="Times New Roman"/>
        <family val="1"/>
      </rPr>
      <t xml:space="preserve">na programe 077 </t>
    </r>
  </si>
  <si>
    <r>
      <t>Tabuľka č. 2: Príjmy verejnej vysokej školy v roku 2018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majúce charakter dotácie okrem príjmov z dotácií 
 z  kapitoly MŠVVaŠ SR a okrem  prostriedkov EÚ  (štrukturálnych  fondov)</t>
    </r>
  </si>
  <si>
    <t>Tabuľka č. 3: Výnosy verejnej vysokej školy v rokoch 2017 a 2018</t>
  </si>
  <si>
    <t>Rozdiel 2018-2017</t>
  </si>
  <si>
    <r>
      <t>Tabuľka č. 4: Výnosy verejnej vysokej školy zo školného a z poplatkov spojených so štúdiom  
v rokoch 2017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a 2018</t>
    </r>
    <r>
      <rPr>
        <b/>
        <sz val="14"/>
        <color rgb="FFFF0000"/>
        <rFont val="Times New Roman"/>
        <family val="1"/>
        <charset val="238"/>
      </rPr>
      <t xml:space="preserve"> </t>
    </r>
  </si>
  <si>
    <t>Tabuľka č. 5: Náklady verejnej vysokej školy v rokoch 2017 a 2018</t>
  </si>
  <si>
    <t>Tabuľka č. 6: Zamestnanci a náklady na mzdy verejnej vysokej školy v roku 2018</t>
  </si>
  <si>
    <t>Priemerný evidenčný prepočítaný počet zamestnancov za rok 2018</t>
  </si>
  <si>
    <t>Tabuľka č. 6a: Zamestnanci a náklady na mzdy verejnej vysokej školy v roku 2018   -   len  ženy  a výpočet priemerného platu mužov</t>
  </si>
  <si>
    <r>
      <t xml:space="preserve">Priemerný evidenčný prepočítaný počet </t>
    </r>
    <r>
      <rPr>
        <b/>
        <sz val="12"/>
        <rFont val="Times New Roman"/>
        <family val="1"/>
        <charset val="238"/>
      </rPr>
      <t>žien</t>
    </r>
    <r>
      <rPr>
        <b/>
        <sz val="12"/>
        <rFont val="Times New Roman"/>
        <family val="1"/>
      </rPr>
      <t xml:space="preserve"> za rok 2018</t>
    </r>
  </si>
  <si>
    <t>Tabuľka č. 8: Údaje o systéme sociálnej podpory - časť  sociálne štipendiá  (§ 96 zákona) 
za roky 2017 a 2018</t>
  </si>
  <si>
    <r>
      <t>Tabuľka č. 9: Údaje o systéme sociálnej podpory  - časť výnosy a náklady</t>
    </r>
    <r>
      <rPr>
        <b/>
        <vertAlign val="superscript"/>
        <sz val="14"/>
        <rFont val="Times New Roman"/>
        <family val="1"/>
        <charset val="238"/>
      </rPr>
      <t>1)</t>
    </r>
    <r>
      <rPr>
        <b/>
        <sz val="14"/>
        <rFont val="Times New Roman"/>
        <family val="1"/>
      </rPr>
      <t xml:space="preserve"> študentských domovov 
(bez zmluvných zariadení) za roky 2017 a 2018</t>
    </r>
  </si>
  <si>
    <r>
      <t>Tabuľka č. 10: Údaje o systéme sociálnej podpory  - časť výnosy a náklady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študentských jedální 
za roky 2017 a 2018 </t>
    </r>
  </si>
  <si>
    <t>Tabuľka č. 12: Výdavky verejnej vysokej školy na obstaranie a technické zhodnotenie dlhodobého majetku v roku 2018</t>
  </si>
  <si>
    <t>Čerpanie kapitálovej dotácie v roku 2018
zo štátneho rozpočtu</t>
  </si>
  <si>
    <r>
      <t xml:space="preserve">Čerpanie kapitálovej dotácie v roku 2018
</t>
    </r>
    <r>
      <rPr>
        <b/>
        <sz val="11"/>
        <color indexed="8"/>
        <rFont val="Times New Roman"/>
        <family val="1"/>
      </rPr>
      <t>z prostriedkov EÚ (štrukturálnych fondov)</t>
    </r>
  </si>
  <si>
    <t xml:space="preserve">Čerpanie bežnej dotácie v roku 2018 prostredníctvom fondu reprodukcie </t>
  </si>
  <si>
    <t>Tabuľka č. 13: Stav a vývoj finančných fondov verejnej vysokej školy v rokoch 2017 a 2018</t>
  </si>
  <si>
    <t>Tabuľka č. 16: Štruktúra a stav finančných prostriedkov na bankových účtoch verejnej vysokej školy
   k 31. decembru 2018</t>
  </si>
  <si>
    <t>Stav účtu k 31.12.2018</t>
  </si>
  <si>
    <t>Tabuľka č. 17: Príjmy verejnej vysokej školy z prostriedkov EÚ a z prostriedkov na ich spolufinancovanie 
zo štátneho rozpočtu z kapitoly MŠVVaŠ SR a z iných kapitol štátneho rozpočtu v roku 2018</t>
  </si>
  <si>
    <r>
      <t>Tabuľka č. 18: Príjmy z dotácií verejnej vysokej škole zo štátneho rozpočtu z kapitoly MŠVVaŠ SR 
poskytnuté mimo programu 077 a mimo príjmov z prostriedkov EÚ (zo štrukturálnych fondov) v roku 2018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</rPr>
      <t xml:space="preserve">
</t>
    </r>
  </si>
  <si>
    <t xml:space="preserve">Tabuľka č. 19: Štipendiá z vlastných zdrojov podľa § 97 zákona v rokoch 2017 a 2018 </t>
  </si>
  <si>
    <t xml:space="preserve">Tabuľka č. 20: Motivačné štipendiá  v rokoch 2017 a 2018 (v zmysle § 96a zákona )  </t>
  </si>
  <si>
    <r>
      <t xml:space="preserve">Tabuľka č. 21: Štruktúra účtu 384 </t>
    </r>
    <r>
      <rPr>
        <b/>
        <i/>
        <sz val="14"/>
        <rFont val="Times New Roman"/>
        <family val="1"/>
        <charset val="238"/>
      </rPr>
      <t xml:space="preserve">- </t>
    </r>
    <r>
      <rPr>
        <b/>
        <sz val="14"/>
        <rFont val="Times New Roman"/>
        <family val="1"/>
        <charset val="238"/>
      </rPr>
      <t>výnosy budúcich období</t>
    </r>
    <r>
      <rPr>
        <b/>
        <i/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v rokoch 2017 a 2018</t>
    </r>
    <r>
      <rPr>
        <b/>
        <sz val="14"/>
        <color rgb="FFFF0000"/>
        <rFont val="Times New Roman"/>
        <family val="1"/>
        <charset val="238"/>
      </rPr>
      <t xml:space="preserve"> </t>
    </r>
  </si>
  <si>
    <t>Stav k 31. 12. 2018</t>
  </si>
  <si>
    <t xml:space="preserve">Tabuľka č. 22: Výnosy verejnej vysokej školy v roku 2018 v oblasti sociálnej podpory študentov </t>
  </si>
  <si>
    <t>Výnosy
v hlavnej činnosti
2017</t>
  </si>
  <si>
    <r>
      <t>Výnosy
hlavnej činnosti
2018</t>
    </r>
    <r>
      <rPr>
        <sz val="12"/>
        <color indexed="10"/>
        <rFont val="Times New Roman"/>
        <family val="1"/>
        <charset val="238"/>
      </rPr>
      <t xml:space="preserve"> </t>
    </r>
  </si>
  <si>
    <t xml:space="preserve">Tabuľka č .23:  Náklady verejnej vysokej školy  v roku 2018 v oblasti sociálnej podpory študentov </t>
  </si>
  <si>
    <t>Náklady
hlavnej činnosti
2018</t>
  </si>
  <si>
    <r>
      <t>Rozdiel 2018-2017</t>
    </r>
    <r>
      <rPr>
        <sz val="12"/>
        <color indexed="10"/>
        <rFont val="Times New Roman"/>
        <family val="1"/>
        <charset val="238"/>
      </rPr>
      <t xml:space="preserve"> </t>
    </r>
  </si>
  <si>
    <t>V prípade, že ešte niektorá VVŠ vypláca doktorandské štipendiá pozadu (ako "mzdy zamestancom"), výška nákladov vykazovaná k 31.12.2018 zohľadňuje aj úhradu štipendií doktorandov, vyplatených v januári  2019 za december 2018</t>
  </si>
  <si>
    <r>
      <t xml:space="preserve"> - cudzinci podľa prechodných ustanovení </t>
    </r>
    <r>
      <rPr>
        <vertAlign val="superscript"/>
        <sz val="12"/>
        <rFont val="Times New Roman"/>
        <family val="1"/>
      </rPr>
      <t>1)</t>
    </r>
  </si>
  <si>
    <r>
      <t>Výnosy z poplatkov spojených so štúdiom</t>
    </r>
    <r>
      <rPr>
        <sz val="12"/>
        <rFont val="Times New Roman"/>
        <family val="1"/>
      </rPr>
      <t xml:space="preserve"> [SUM (R8:R13)]</t>
    </r>
  </si>
  <si>
    <r>
      <t>- fondu reprodukcie (účet 656 400)</t>
    </r>
    <r>
      <rPr>
        <vertAlign val="superscript"/>
        <sz val="12"/>
        <rFont val="Times New Roman"/>
        <family val="1"/>
        <charset val="238"/>
      </rPr>
      <t xml:space="preserve"> 2)</t>
    </r>
  </si>
  <si>
    <t xml:space="preserve">1) V R50-54 sa uvedú výnosy účtované v súvislosti s použitím  príslušného fondu.  </t>
  </si>
  <si>
    <r>
      <t xml:space="preserve">  - poskytované mesačne </t>
    </r>
    <r>
      <rPr>
        <vertAlign val="superscript"/>
        <sz val="12"/>
        <color rgb="FFFF0000"/>
        <rFont val="Times New Roman"/>
        <family val="1"/>
        <charset val="238"/>
      </rPr>
      <t>1)</t>
    </r>
  </si>
  <si>
    <t>- iné nezaradené</t>
  </si>
  <si>
    <t>z iných zdrojov
 kód 13</t>
  </si>
  <si>
    <t>Náklady na štipendiá interných doktorandov spolu</t>
  </si>
  <si>
    <t>Počet osobomesiacov interných doktorandov spolu za 2018</t>
  </si>
  <si>
    <t xml:space="preserve">Kategória zamestnancov - žien
</t>
  </si>
  <si>
    <t>kvartil q2 50%
medián *)</t>
  </si>
  <si>
    <r>
      <t>Ostatné náklady (účtová skupina 54)</t>
    </r>
    <r>
      <rPr>
        <sz val="12"/>
        <color theme="1"/>
        <rFont val="Times New Roman"/>
        <family val="1"/>
      </rPr>
      <t xml:space="preserve"> [R75+ R76]</t>
    </r>
  </si>
  <si>
    <r>
      <t xml:space="preserve">Odpisy, predaný majetok a opravné položky (účtová skupina 55: 551 až 558) </t>
    </r>
    <r>
      <rPr>
        <sz val="12"/>
        <color theme="1"/>
        <rFont val="Times New Roman"/>
        <family val="1"/>
      </rPr>
      <t>[SUM(R85:R92)]</t>
    </r>
  </si>
  <si>
    <r>
      <t>Spotreba materiálu (účet 501)</t>
    </r>
    <r>
      <rPr>
        <sz val="12"/>
        <color theme="1"/>
        <rFont val="Times New Roman"/>
        <family val="1"/>
      </rPr>
      <t xml:space="preserve"> [SUM(R2:R13)]</t>
    </r>
  </si>
  <si>
    <r>
      <t>Spotreba energie (účet 502)</t>
    </r>
    <r>
      <rPr>
        <sz val="12"/>
        <color theme="1"/>
        <rFont val="Times New Roman"/>
        <family val="1"/>
      </rPr>
      <t xml:space="preserve"> [SUM(R15:R20)]</t>
    </r>
  </si>
  <si>
    <r>
      <t>Predaný tovar (účet 504)</t>
    </r>
    <r>
      <rPr>
        <sz val="12"/>
        <color theme="1"/>
        <rFont val="Times New Roman"/>
        <family val="1"/>
      </rPr>
      <t xml:space="preserve"> [SUM(R23:R26)]</t>
    </r>
  </si>
  <si>
    <r>
      <t>Opravy a udržiavanie (účet 511)</t>
    </r>
    <r>
      <rPr>
        <sz val="12"/>
        <color theme="1"/>
        <rFont val="Times New Roman"/>
        <family val="1"/>
      </rPr>
      <t xml:space="preserve"> [SUM(R28:R34)]</t>
    </r>
  </si>
  <si>
    <r>
      <t>Cestovné (účet 512)</t>
    </r>
    <r>
      <rPr>
        <sz val="12"/>
        <color theme="1"/>
        <rFont val="Times New Roman"/>
        <family val="1"/>
      </rPr>
      <t xml:space="preserve"> [SUM(R36:R37)]</t>
    </r>
  </si>
  <si>
    <r>
      <t>Ostatné služby (účet 518)</t>
    </r>
    <r>
      <rPr>
        <sz val="12"/>
        <color theme="1"/>
        <rFont val="Times New Roman"/>
        <family val="1"/>
      </rPr>
      <t xml:space="preserve"> [SUM(R40:R54)]   </t>
    </r>
  </si>
  <si>
    <r>
      <t>Mzdové náklady (účet 521)</t>
    </r>
    <r>
      <rPr>
        <sz val="12"/>
        <color theme="1"/>
        <rFont val="Times New Roman"/>
        <family val="1"/>
      </rPr>
      <t xml:space="preserve">  [SUM(R56:R57)]</t>
    </r>
  </si>
  <si>
    <t xml:space="preserve"> - MZDY (účty 521 001-008, 521 012, 521 013, 581 003)</t>
  </si>
  <si>
    <r>
      <t xml:space="preserve"> - OON </t>
    </r>
    <r>
      <rPr>
        <sz val="12"/>
        <color theme="1"/>
        <rFont val="Times New Roman"/>
        <family val="1"/>
      </rPr>
      <t>[SUM(R58:R60)]</t>
    </r>
  </si>
  <si>
    <r>
      <t xml:space="preserve">Zákonné sociálne náklady (účet 527) </t>
    </r>
    <r>
      <rPr>
        <sz val="12"/>
        <color theme="1"/>
        <rFont val="Times New Roman"/>
        <family val="1"/>
      </rPr>
      <t>[SUM(R64:R69)]</t>
    </r>
  </si>
  <si>
    <r>
      <t xml:space="preserve">Spolu </t>
    </r>
    <r>
      <rPr>
        <sz val="12"/>
        <color theme="1"/>
        <rFont val="Times New Roman"/>
        <family val="1"/>
      </rPr>
      <t>[R1+R14+R21+R22+R27+R35+R38+R39+R55+SUM (R61:R63) +SUM (R70:R74)+R84+R93+R94]</t>
    </r>
  </si>
  <si>
    <t xml:space="preserve">Tabuľka č. 7: Náklady verejnej vysokej školy na štipendiá interných doktorandov v roku 2018 </t>
  </si>
  <si>
    <t>Tabuľka č. 11: Zdroje verejnej vysokej školy na obstaranie a technické zhodnotenie dlhodobého  majetku v rokoch 2017 a 2018</t>
  </si>
  <si>
    <t>- vložné na konferencie  (účet 518 004, 518 054)</t>
  </si>
  <si>
    <t>- za externú formu štúdia (§ 92 ods. 4) (648 020, 648 011)</t>
  </si>
  <si>
    <t xml:space="preserve"> - za cudzojazyčné štúdium dennou formou (§ 92 ods. 8 a 9) (648 002, 648 010, 648 023)</t>
  </si>
  <si>
    <t>- za cudzojazyčné štúdium dennou formou, 648 010</t>
  </si>
  <si>
    <t>- školné od externých študentov (§ 92 ods. 4  zákona)  účet 648 020,648011</t>
  </si>
  <si>
    <r>
      <t>Výnosy zo školného (účet 648) [SUM(R21:R2</t>
    </r>
    <r>
      <rPr>
        <b/>
        <sz val="12"/>
        <color rgb="FFFF0000"/>
        <rFont val="Times New Roman"/>
        <family val="1"/>
        <charset val="238"/>
      </rPr>
      <t>5</t>
    </r>
    <r>
      <rPr>
        <b/>
        <sz val="12"/>
        <rFont val="Times New Roman"/>
        <family val="1"/>
        <charset val="238"/>
      </rPr>
      <t>)]</t>
    </r>
  </si>
  <si>
    <r>
      <t>Výnosy z použitia fondov (účet 656) [SUM(R5</t>
    </r>
    <r>
      <rPr>
        <b/>
        <sz val="12"/>
        <color rgb="FFFF0000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>:R5</t>
    </r>
    <r>
      <rPr>
        <b/>
        <sz val="12"/>
        <color rgb="FFFF0000"/>
        <rFont val="Times New Roman"/>
        <family val="1"/>
        <charset val="238"/>
      </rPr>
      <t>5</t>
    </r>
    <r>
      <rPr>
        <b/>
        <sz val="12"/>
        <rFont val="Times New Roman"/>
        <family val="1"/>
        <charset val="238"/>
      </rPr>
      <t xml:space="preserve">)]  </t>
    </r>
    <r>
      <rPr>
        <b/>
        <vertAlign val="superscript"/>
        <sz val="12"/>
        <rFont val="Times New Roman"/>
        <family val="1"/>
        <charset val="238"/>
      </rPr>
      <t xml:space="preserve"> 1)</t>
    </r>
  </si>
  <si>
    <r>
      <t xml:space="preserve">Štipendiá z vlastných zdrojov vysokej školy (§ 97 zákona) spolu </t>
    </r>
    <r>
      <rPr>
        <sz val="12"/>
        <rFont val="Times New Roman"/>
        <family val="1"/>
        <charset val="238"/>
      </rPr>
      <t>[R2+R5+R8+R11+R14</t>
    </r>
    <r>
      <rPr>
        <sz val="12"/>
        <color rgb="FFFF0000"/>
        <rFont val="Times New Roman"/>
        <family val="1"/>
        <charset val="238"/>
      </rPr>
      <t>+R17</t>
    </r>
    <r>
      <rPr>
        <sz val="12"/>
        <rFont val="Times New Roman"/>
        <family val="1"/>
        <charset val="238"/>
      </rPr>
      <t xml:space="preserve">] </t>
    </r>
  </si>
  <si>
    <r>
      <t>Výdavky na obstaranie a technické zhodnotenie dlhobého majetku spolu [R1+SUM(R3:R4)+SUM(R1</t>
    </r>
    <r>
      <rPr>
        <b/>
        <sz val="12"/>
        <color rgb="FFFF0000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</rPr>
      <t>:R1</t>
    </r>
    <r>
      <rPr>
        <b/>
        <sz val="12"/>
        <color rgb="FFFF0000"/>
        <rFont val="Times New Roman"/>
        <family val="1"/>
        <charset val="238"/>
      </rPr>
      <t>6)</t>
    </r>
    <r>
      <rPr>
        <b/>
        <sz val="12"/>
        <color theme="1"/>
        <rFont val="Times New Roman"/>
        <family val="1"/>
      </rPr>
      <t>]</t>
    </r>
  </si>
  <si>
    <t>-komunikačná infraštruktúra (713 006)</t>
  </si>
  <si>
    <r>
      <t>Výnosy z poplatkov spojených so štúdiom (účet 648) [SUM(R2</t>
    </r>
    <r>
      <rPr>
        <b/>
        <sz val="12"/>
        <color rgb="FFFF0000"/>
        <rFont val="Times New Roman"/>
        <family val="1"/>
        <charset val="238"/>
      </rPr>
      <t>7</t>
    </r>
    <r>
      <rPr>
        <b/>
        <sz val="12"/>
        <rFont val="Times New Roman"/>
        <family val="1"/>
        <charset val="238"/>
      </rPr>
      <t>:R3</t>
    </r>
    <r>
      <rPr>
        <b/>
        <sz val="12"/>
        <color rgb="FFFF0000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 xml:space="preserve">)] </t>
    </r>
  </si>
  <si>
    <r>
      <t>Iné ostatné výnosy (účet 646, 649)</t>
    </r>
    <r>
      <rPr>
        <b/>
        <sz val="14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[SUM(R35:R44)]</t>
    </r>
  </si>
  <si>
    <r>
      <t xml:space="preserve">Spolu </t>
    </r>
    <r>
      <rPr>
        <sz val="11"/>
        <rFont val="Times New Roman"/>
        <family val="1"/>
        <charset val="238"/>
      </rPr>
      <t>[R1+R6+SUM(R11:R16)+R19+R20+R26+</t>
    </r>
    <r>
      <rPr>
        <sz val="11"/>
        <color rgb="FFFF0000"/>
        <rFont val="Times New Roman"/>
        <family val="1"/>
        <charset val="238"/>
      </rPr>
      <t>R33</t>
    </r>
    <r>
      <rPr>
        <sz val="11"/>
        <rFont val="Times New Roman"/>
        <family val="1"/>
        <charset val="238"/>
      </rPr>
      <t>+R34+SUM(R45:R50)+SUM(R56:R62)]</t>
    </r>
  </si>
  <si>
    <t>MZ SR projekt Rezident</t>
  </si>
  <si>
    <t>APVV pre spoluriešiteľov</t>
  </si>
  <si>
    <t>1c</t>
  </si>
  <si>
    <t>dotácia od mesta Košice</t>
  </si>
  <si>
    <t>Višehradský fond</t>
  </si>
  <si>
    <t>Združenie SANET</t>
  </si>
  <si>
    <t>3c</t>
  </si>
  <si>
    <t>od úradu práce</t>
  </si>
  <si>
    <t>3d</t>
  </si>
  <si>
    <t>slov.kardiolog. spoločnosť grant MUDr Farkašová</t>
  </si>
  <si>
    <t>3e</t>
  </si>
  <si>
    <t>príspevok od Slov.botanickej spoločnosti na botanikiádu</t>
  </si>
  <si>
    <t>Univ.Medisch centrum Groningen</t>
  </si>
  <si>
    <t>4c</t>
  </si>
  <si>
    <t>Socrates</t>
  </si>
  <si>
    <t>Erasmus</t>
  </si>
  <si>
    <t>Dcore Systems SA Switzeland-PF</t>
  </si>
  <si>
    <t>4d</t>
  </si>
  <si>
    <t>The European space Agency (ESA), Paris France</t>
  </si>
  <si>
    <t>Red Hat Czech</t>
  </si>
  <si>
    <t>ALT H2020 doc.Kopčo</t>
  </si>
  <si>
    <t>NATO Emerging Security Challenges Division, SPS Programme Brussels, Belgium</t>
  </si>
  <si>
    <t>European X-Ray XFEL</t>
  </si>
  <si>
    <t>4e</t>
  </si>
  <si>
    <t>4f</t>
  </si>
  <si>
    <t>4g</t>
  </si>
  <si>
    <t>4h</t>
  </si>
  <si>
    <t>4i</t>
  </si>
  <si>
    <t>1d</t>
  </si>
  <si>
    <t>MK SR fond na podporu umenia pre UK</t>
  </si>
  <si>
    <t>MV SR - grant prevencia kriminality</t>
  </si>
  <si>
    <t>3f</t>
  </si>
  <si>
    <t>3g</t>
  </si>
  <si>
    <t>Finančný mechanizmus EHP</t>
  </si>
  <si>
    <t>Nórsky finančný mechanizmus</t>
  </si>
  <si>
    <t>- poplatky za vydanie dokladov o štúdiu, účet  648 006,648 009</t>
  </si>
  <si>
    <t xml:space="preserve">0,00 </t>
  </si>
  <si>
    <t>Botanická záhrada</t>
  </si>
  <si>
    <t>SK6581800000007000241949 Dotačný účet LF, SK7481800000007000241690 Dotačný účet PF, SK7081800000007000241762 Dotačný účet Práv.F, SK9581800000007000241797 Dotačný účet FVS, SK4881800000007000241770 Dotačný účet R</t>
  </si>
  <si>
    <t>SK7981800000007000137519 Zostatkový účet LF, SK5781800000007000137527 Zostatkový účet PF,  SK1081800000007000137500 Zost.dot.Práv.F, SK1381800000007000137543 Zost.dot.FVS, SK3581800000007000137535 Zost.dot.R</t>
  </si>
  <si>
    <t>SK6881800000007000152655 Distribučný účet, R</t>
  </si>
  <si>
    <t>SK7381800000007000078360 BUN LF,SK2881800000007000078491BUN PF KE, SK6981800000007000078432 BUN Práv.F KE, SK5881800000007000086002 BUN FVS KE, SK6481800000007000074351BUN R UPJŠ</t>
  </si>
  <si>
    <t>SK3681800000007000436471 BU Cardpay HČ ŠJ</t>
  </si>
  <si>
    <t>SK918100000007000078424 Devízový -USD LF</t>
  </si>
  <si>
    <t>SK3681800000007000252365 BU F.Repr.Rekt. UPJŠ</t>
  </si>
  <si>
    <t>SK1581800000007000467307 Zábezpeka,R</t>
  </si>
  <si>
    <t>SK4581800000007000078379 ŠF LF, 
SK6581800000007000078504 ŠF PF KE, 
SK4781800000007000078440 ŠF Právn.F KE, 
SK8381800000007000086037 ŠF FVS KE, 
SK8081800000007000252349 ŠF Rekt.UPJŠ KE</t>
  </si>
  <si>
    <t>SK1681800000007000078416 PČ LF, 
SK6881800000007000078547 PČ PF, 
SK5081800000007000078483 PČ Práv.F, 
SK3981800000007000086053 PČ FVS, 
SK1181800000007000074335 PČ R UPJŠ</t>
  </si>
  <si>
    <t>SK9881800000007000078395 SF LF KE, 
SK2181800000007000078520 SF PF KE, 
SK9481800000007000078467 SF PrávF KE,
SK0881800000007000086029 SFFVS KE,
SK8681800000007000074343 SF UPJŠ KE</t>
  </si>
  <si>
    <t>SK3881800000007000440315 7RP SAILS,
SK9881800000007000464261 CELIM, 
SK3081800000007000373335 Establish
SK1481800000007000535904 Erasmus + acr.SciVis
SK4481800000007000540893 Commenius SciCamp
SK68 8180 0000 0070 0054 7833 BU H2020-ALT, PF UPJŠ
SK43 8180 0000 0070 0055 9535 DeCaSuB</t>
  </si>
  <si>
    <t>SK4181800000007000570435 NP IT Akademia,
SK2381800000007000078387 Dary a granty LF, SK4381800000007000078512Dary a granty PF, SK1981800000007000078459 Dary a granty PrávF, SK3681800000007000086010 Dary a granty FVS,
SK5481800000007000099751 Dary a granty
SK8981800000007000074386 Socrates, R
SK7981800000007000358776 BÚ-MVP CCV, PF
SK0781800000007000368026 ESF MoVeS,FVS
SK9581800000007000467710 BU Technikom, UPJŠ KE
SK0581800000007000497848 AŠF EU MŠ SR Platon
SK6081800000007000558938 BU SAAIC Erasmus+
SK4381800000007000593776 RKKZ UPJŠ KE</t>
  </si>
  <si>
    <t xml:space="preserve">Názov verejnej vysokej školy:   Univerzita Pavla Jozefa Šafárika v Košiciach, Šrobárova 2
Názov fakulty:  </t>
  </si>
  <si>
    <t xml:space="preserve">Názov verejnej vysokej školy:   Univerzita Pavla Jozefa Šafárika v Košiciach, Šrobárova 2
Názov fakulty: </t>
  </si>
  <si>
    <t xml:space="preserve">Názov verejnej vysokej školy:   Univerzita Pavla Jozefa Šafárika v Košiciach, Šrobárova 2
Názov fakulty:   </t>
  </si>
  <si>
    <t xml:space="preserve">Názov verejnej vysokej školy: Univerzita Pavla Jozefa Šafárika v Košiciach, Šrobárova 2
Názov fakulty:  </t>
  </si>
  <si>
    <t xml:space="preserve">Názov verejnej vysokej školy:  Univerzita Pavla Jozefa Šafárika v Košiciach, Šrobárova 2
Názov fakulty:  </t>
  </si>
  <si>
    <t>Názov verejnej vysokej školy: Univerzita Pavla Jozefa Šafárika v Košiciach, Šrobárova 2
Názov fakulty:</t>
  </si>
  <si>
    <t>Názov verejnej vysokej školy: Univerzita Pavla Jozefa Šafárika v Košiciach, Šrobárova 2</t>
  </si>
  <si>
    <t>Názov verejnej vysokej školy:  Univerzita Pavla Jozefa Šafárika v Košiciach, Šrobárova 2</t>
  </si>
  <si>
    <t xml:space="preserve">Názov verejnej vysokej školy: Univerzita Pavla Jozefa Šafárika v Košiciach, Šrobárova 2
Názov fakulty: </t>
  </si>
  <si>
    <t>Zahraničný lektor - francúzsky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</si>
</sst>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S_k_-;\-* #,##0.00\ _S_k_-;_-* &quot;-&quot;??\ _S_k_-;_-@_-"/>
    <numFmt numFmtId="165" formatCode="#,##0_ ;[Red]\-#,##0\ "/>
    <numFmt numFmtId="166" formatCode="#,##0.00_ ;[Red]\-#,##0.00\ "/>
  </numFmts>
  <fonts count="10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10"/>
      <name val="Arial"/>
      <family val="2"/>
      <charset val="238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2"/>
      <name val="Times New Roman"/>
      <family val="1"/>
      <charset val="238"/>
    </font>
    <font>
      <strike/>
      <sz val="12"/>
      <name val="Times New Roman"/>
      <family val="1"/>
    </font>
    <font>
      <sz val="11"/>
      <name val="Times New Roman"/>
      <family val="1"/>
    </font>
    <font>
      <sz val="10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sz val="10"/>
      <color rgb="FF000000"/>
      <name val="Tahoma"/>
      <family val="2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FF"/>
      <name val="Times New Roman"/>
      <family val="1"/>
    </font>
    <font>
      <sz val="12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</font>
    <font>
      <sz val="12"/>
      <color rgb="FFFF0000"/>
      <name val="Times New Roman"/>
      <family val="2"/>
      <charset val="238"/>
    </font>
    <font>
      <sz val="11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2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0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6" fillId="0" borderId="0"/>
    <xf numFmtId="0" fontId="74" fillId="0" borderId="0"/>
    <xf numFmtId="0" fontId="16" fillId="0" borderId="0"/>
    <xf numFmtId="0" fontId="16" fillId="0" borderId="0"/>
    <xf numFmtId="0" fontId="56" fillId="0" borderId="0"/>
    <xf numFmtId="0" fontId="20" fillId="0" borderId="0"/>
    <xf numFmtId="0" fontId="47" fillId="0" borderId="0"/>
    <xf numFmtId="0" fontId="37" fillId="23" borderId="7" applyNumberFormat="0" applyFont="0" applyAlignment="0" applyProtection="0"/>
    <xf numFmtId="0" fontId="48" fillId="20" borderId="8" applyNumberFormat="0" applyAlignment="0" applyProtection="0"/>
    <xf numFmtId="4" fontId="11" fillId="22" borderId="9" applyNumberFormat="0" applyProtection="0">
      <alignment vertical="center"/>
    </xf>
    <xf numFmtId="4" fontId="12" fillId="24" borderId="9" applyNumberFormat="0" applyProtection="0">
      <alignment vertical="center"/>
    </xf>
    <xf numFmtId="4" fontId="11" fillId="24" borderId="9" applyNumberFormat="0" applyProtection="0">
      <alignment horizontal="left" vertical="center" indent="1"/>
    </xf>
    <xf numFmtId="0" fontId="11" fillId="24" borderId="9" applyNumberFormat="0" applyProtection="0">
      <alignment horizontal="left" vertical="top" indent="1"/>
    </xf>
    <xf numFmtId="4" fontId="13" fillId="3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1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1" fillId="26" borderId="1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4" fillId="28" borderId="0" applyNumberFormat="0" applyProtection="0">
      <alignment horizontal="left" vertical="center" indent="1"/>
    </xf>
    <xf numFmtId="4" fontId="13" fillId="29" borderId="9" applyNumberFormat="0" applyProtection="0">
      <alignment horizontal="right" vertical="center"/>
    </xf>
    <xf numFmtId="4" fontId="15" fillId="27" borderId="0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0" fontId="16" fillId="28" borderId="9" applyNumberFormat="0" applyProtection="0">
      <alignment horizontal="left" vertical="center" indent="1"/>
    </xf>
    <xf numFmtId="0" fontId="16" fillId="28" borderId="9" applyNumberFormat="0" applyProtection="0">
      <alignment horizontal="left" vertical="top" indent="1"/>
    </xf>
    <xf numFmtId="0" fontId="16" fillId="30" borderId="9" applyNumberFormat="0" applyProtection="0">
      <alignment horizontal="left" vertical="center" indent="1"/>
    </xf>
    <xf numFmtId="0" fontId="16" fillId="30" borderId="9" applyNumberFormat="0" applyProtection="0">
      <alignment horizontal="left" vertical="top" indent="1"/>
    </xf>
    <xf numFmtId="0" fontId="16" fillId="31" borderId="9" applyNumberFormat="0" applyProtection="0">
      <alignment horizontal="left" vertical="center" indent="1"/>
    </xf>
    <xf numFmtId="0" fontId="16" fillId="31" borderId="9" applyNumberFormat="0" applyProtection="0">
      <alignment horizontal="left" vertical="top" indent="1"/>
    </xf>
    <xf numFmtId="0" fontId="16" fillId="32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top" indent="1"/>
    </xf>
    <xf numFmtId="4" fontId="11" fillId="30" borderId="0" applyNumberFormat="0" applyProtection="0">
      <alignment horizontal="left" vertical="center" indent="1"/>
    </xf>
    <xf numFmtId="4" fontId="13" fillId="33" borderId="9" applyNumberFormat="0" applyProtection="0">
      <alignment vertical="center"/>
    </xf>
    <xf numFmtId="4" fontId="17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3" fillId="33" borderId="9" applyNumberFormat="0" applyProtection="0">
      <alignment horizontal="left" vertical="top" indent="1"/>
    </xf>
    <xf numFmtId="4" fontId="13" fillId="27" borderId="9" applyNumberFormat="0" applyProtection="0">
      <alignment horizontal="right" vertical="center"/>
    </xf>
    <xf numFmtId="4" fontId="17" fillId="27" borderId="9" applyNumberFormat="0" applyProtection="0">
      <alignment horizontal="right" vertical="center"/>
    </xf>
    <xf numFmtId="4" fontId="13" fillId="29" borderId="9" applyNumberFormat="0" applyProtection="0">
      <alignment horizontal="left" vertical="center" indent="1"/>
    </xf>
    <xf numFmtId="0" fontId="13" fillId="30" borderId="9" applyNumberFormat="0" applyProtection="0">
      <alignment horizontal="left" vertical="top" indent="1"/>
    </xf>
    <xf numFmtId="4" fontId="18" fillId="34" borderId="0" applyNumberFormat="0" applyProtection="0">
      <alignment horizontal="left" vertical="center" indent="1"/>
    </xf>
    <xf numFmtId="4" fontId="19" fillId="27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Border="1"/>
    <xf numFmtId="49" fontId="3" fillId="0" borderId="0" xfId="0" applyNumberFormat="1" applyFont="1" applyAlignment="1">
      <alignment horizontal="left" vertical="center"/>
    </xf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13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 indent="1"/>
    </xf>
    <xf numFmtId="3" fontId="2" fillId="24" borderId="13" xfId="0" applyNumberFormat="1" applyFont="1" applyFill="1" applyBorder="1" applyAlignment="1">
      <alignment horizontal="right" vertical="center" wrapText="1" indent="1"/>
    </xf>
    <xf numFmtId="3" fontId="2" fillId="24" borderId="14" xfId="0" applyNumberFormat="1" applyFont="1" applyFill="1" applyBorder="1" applyAlignment="1">
      <alignment horizontal="right" vertical="center" wrapText="1" indent="1"/>
    </xf>
    <xf numFmtId="3" fontId="3" fillId="35" borderId="13" xfId="0" applyNumberFormat="1" applyFont="1" applyFill="1" applyBorder="1" applyAlignment="1">
      <alignment horizontal="right" vertical="center" wrapText="1" indent="1"/>
    </xf>
    <xf numFmtId="3" fontId="2" fillId="24" borderId="18" xfId="0" applyNumberFormat="1" applyFont="1" applyFill="1" applyBorder="1" applyAlignment="1">
      <alignment horizontal="right" vertical="center" wrapText="1" indent="1"/>
    </xf>
    <xf numFmtId="0" fontId="2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3" fontId="3" fillId="35" borderId="14" xfId="0" applyNumberFormat="1" applyFont="1" applyFill="1" applyBorder="1" applyAlignment="1">
      <alignment horizontal="right" vertical="center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49" fontId="3" fillId="0" borderId="13" xfId="0" applyNumberFormat="1" applyFont="1" applyBorder="1" applyAlignment="1">
      <alignment horizontal="left" vertical="top" wrapText="1" indent="1"/>
    </xf>
    <xf numFmtId="3" fontId="6" fillId="24" borderId="13" xfId="0" applyNumberFormat="1" applyFont="1" applyFill="1" applyBorder="1" applyAlignment="1">
      <alignment horizontal="right" vertical="center" wrapText="1" indent="1"/>
    </xf>
    <xf numFmtId="3" fontId="6" fillId="24" borderId="17" xfId="0" applyNumberFormat="1" applyFont="1" applyFill="1" applyBorder="1" applyAlignment="1">
      <alignment horizontal="right" vertical="center" wrapText="1" indent="1"/>
    </xf>
    <xf numFmtId="49" fontId="6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right" vertical="center" wrapText="1" indent="1"/>
    </xf>
    <xf numFmtId="0" fontId="6" fillId="24" borderId="14" xfId="0" applyFont="1" applyFill="1" applyBorder="1" applyAlignment="1">
      <alignment horizontal="righ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49" fontId="3" fillId="0" borderId="0" xfId="0" applyNumberFormat="1" applyFont="1" applyAlignment="1">
      <alignment vertical="center" wrapText="1"/>
    </xf>
    <xf numFmtId="3" fontId="6" fillId="0" borderId="0" xfId="44" applyNumberFormat="1" applyFont="1" applyBorder="1" applyAlignment="1">
      <alignment vertical="center" wrapText="1"/>
    </xf>
    <xf numFmtId="3" fontId="6" fillId="0" borderId="0" xfId="44" applyNumberFormat="1" applyFont="1" applyBorder="1" applyAlignment="1">
      <alignment horizontal="center" vertical="center" wrapText="1"/>
    </xf>
    <xf numFmtId="3" fontId="7" fillId="0" borderId="0" xfId="44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24" borderId="18" xfId="0" applyFont="1" applyFill="1" applyBorder="1" applyAlignment="1">
      <alignment horizontal="right" vertical="center" wrapText="1" indent="1"/>
    </xf>
    <xf numFmtId="3" fontId="6" fillId="35" borderId="13" xfId="0" applyNumberFormat="1" applyFont="1" applyFill="1" applyBorder="1" applyAlignment="1">
      <alignment horizontal="right" vertical="center" wrapText="1" indent="1"/>
    </xf>
    <xf numFmtId="3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3" fontId="3" fillId="0" borderId="13" xfId="0" applyNumberFormat="1" applyFont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right" vertical="center" wrapText="1" indent="1"/>
    </xf>
    <xf numFmtId="3" fontId="3" fillId="35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7" fillId="0" borderId="0" xfId="0" applyFont="1"/>
    <xf numFmtId="1" fontId="3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 indent="1"/>
    </xf>
    <xf numFmtId="49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44" applyFont="1" applyBorder="1" applyAlignment="1">
      <alignment horizontal="center" vertical="center" wrapText="1"/>
    </xf>
    <xf numFmtId="3" fontId="7" fillId="0" borderId="13" xfId="44" applyNumberFormat="1" applyFont="1" applyBorder="1" applyAlignment="1">
      <alignment horizontal="center" vertical="center" wrapText="1"/>
    </xf>
    <xf numFmtId="0" fontId="6" fillId="0" borderId="14" xfId="44" applyFont="1" applyBorder="1" applyAlignment="1">
      <alignment horizontal="center" vertical="center" wrapText="1"/>
    </xf>
    <xf numFmtId="3" fontId="7" fillId="0" borderId="15" xfId="44" applyNumberFormat="1" applyFont="1" applyBorder="1" applyAlignment="1">
      <alignment vertical="center" wrapText="1"/>
    </xf>
    <xf numFmtId="3" fontId="7" fillId="0" borderId="14" xfId="44" applyNumberFormat="1" applyFont="1" applyBorder="1" applyAlignment="1">
      <alignment horizontal="center" vertical="center" wrapText="1"/>
    </xf>
    <xf numFmtId="3" fontId="7" fillId="0" borderId="16" xfId="44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49" fontId="7" fillId="0" borderId="13" xfId="0" applyNumberFormat="1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9" fillId="0" borderId="0" xfId="0" applyFont="1" applyBorder="1"/>
    <xf numFmtId="49" fontId="3" fillId="0" borderId="19" xfId="0" applyNumberFormat="1" applyFont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0" borderId="22" xfId="0" applyFont="1" applyBorder="1" applyAlignment="1">
      <alignment vertical="center" wrapText="1"/>
    </xf>
    <xf numFmtId="0" fontId="7" fillId="35" borderId="14" xfId="0" applyFont="1" applyFill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left" vertical="center" wrapText="1" indent="1"/>
    </xf>
    <xf numFmtId="1" fontId="6" fillId="24" borderId="13" xfId="0" applyNumberFormat="1" applyFont="1" applyFill="1" applyBorder="1" applyAlignment="1">
      <alignment horizontal="right" vertical="center" wrapText="1" indent="1"/>
    </xf>
    <xf numFmtId="0" fontId="7" fillId="0" borderId="15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 indent="1"/>
    </xf>
    <xf numFmtId="49" fontId="3" fillId="0" borderId="0" xfId="0" applyNumberFormat="1" applyFont="1" applyAlignment="1">
      <alignment horizontal="left" wrapText="1" indent="1"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top" wrapText="1" indent="1"/>
    </xf>
    <xf numFmtId="3" fontId="6" fillId="24" borderId="14" xfId="0" applyNumberFormat="1" applyFont="1" applyFill="1" applyBorder="1" applyAlignment="1">
      <alignment horizontal="right" vertical="center" wrapText="1" indent="1"/>
    </xf>
    <xf numFmtId="3" fontId="3" fillId="0" borderId="14" xfId="0" applyNumberFormat="1" applyFont="1" applyFill="1" applyBorder="1" applyAlignment="1">
      <alignment horizontal="right" vertical="center" wrapText="1" indent="1"/>
    </xf>
    <xf numFmtId="3" fontId="7" fillId="35" borderId="13" xfId="0" applyNumberFormat="1" applyFont="1" applyFill="1" applyBorder="1" applyAlignment="1">
      <alignment horizontal="right" vertical="center" wrapText="1" indent="1"/>
    </xf>
    <xf numFmtId="3" fontId="6" fillId="24" borderId="18" xfId="0" applyNumberFormat="1" applyFont="1" applyFill="1" applyBorder="1" applyAlignment="1">
      <alignment horizontal="right" vertical="center" wrapText="1" indent="1"/>
    </xf>
    <xf numFmtId="3" fontId="3" fillId="35" borderId="19" xfId="0" applyNumberFormat="1" applyFont="1" applyFill="1" applyBorder="1" applyAlignment="1">
      <alignment horizontal="right" vertical="center" wrapText="1" indent="1"/>
    </xf>
    <xf numFmtId="3" fontId="6" fillId="24" borderId="19" xfId="0" applyNumberFormat="1" applyFont="1" applyFill="1" applyBorder="1" applyAlignment="1">
      <alignment horizontal="right" vertical="center" wrapText="1" indent="1"/>
    </xf>
    <xf numFmtId="3" fontId="2" fillId="24" borderId="17" xfId="0" applyNumberFormat="1" applyFont="1" applyFill="1" applyBorder="1" applyAlignment="1">
      <alignment horizontal="right" vertical="center" wrapText="1" indent="1"/>
    </xf>
    <xf numFmtId="1" fontId="3" fillId="35" borderId="13" xfId="0" applyNumberFormat="1" applyFont="1" applyFill="1" applyBorder="1" applyAlignment="1">
      <alignment horizontal="right" vertical="center" wrapText="1" indent="1"/>
    </xf>
    <xf numFmtId="3" fontId="7" fillId="24" borderId="13" xfId="0" applyNumberFormat="1" applyFont="1" applyFill="1" applyBorder="1" applyAlignment="1">
      <alignment horizontal="right" vertical="center" wrapText="1" indent="1"/>
    </xf>
    <xf numFmtId="3" fontId="7" fillId="24" borderId="14" xfId="0" applyNumberFormat="1" applyFont="1" applyFill="1" applyBorder="1" applyAlignment="1">
      <alignment horizontal="right" vertical="center" wrapText="1" indent="1"/>
    </xf>
    <xf numFmtId="3" fontId="7" fillId="35" borderId="14" xfId="0" applyNumberFormat="1" applyFont="1" applyFill="1" applyBorder="1" applyAlignment="1">
      <alignment horizontal="right" vertical="center" wrapText="1" indent="1"/>
    </xf>
    <xf numFmtId="3" fontId="6" fillId="35" borderId="20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24" borderId="27" xfId="0" applyNumberFormat="1" applyFont="1" applyFill="1" applyBorder="1" applyAlignment="1">
      <alignment horizontal="right" vertical="center" wrapText="1" indent="1"/>
    </xf>
    <xf numFmtId="3" fontId="6" fillId="35" borderId="27" xfId="0" applyNumberFormat="1" applyFont="1" applyFill="1" applyBorder="1" applyAlignment="1">
      <alignment horizontal="right" vertical="center" wrapText="1" indent="1"/>
    </xf>
    <xf numFmtId="3" fontId="6" fillId="24" borderId="20" xfId="0" applyNumberFormat="1" applyFont="1" applyFill="1" applyBorder="1" applyAlignment="1">
      <alignment horizontal="right" vertical="center" wrapText="1" indent="1"/>
    </xf>
    <xf numFmtId="3" fontId="6" fillId="24" borderId="28" xfId="0" applyNumberFormat="1" applyFont="1" applyFill="1" applyBorder="1" applyAlignment="1">
      <alignment horizontal="right" vertical="center" wrapText="1" inden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35" borderId="19" xfId="0" applyNumberFormat="1" applyFont="1" applyFill="1" applyBorder="1" applyAlignment="1">
      <alignment horizontal="right" vertical="center" wrapText="1" indent="1"/>
    </xf>
    <xf numFmtId="3" fontId="3" fillId="0" borderId="19" xfId="0" applyNumberFormat="1" applyFont="1" applyFill="1" applyBorder="1" applyAlignment="1">
      <alignment horizontal="right" vertical="center" wrapText="1" indent="1"/>
    </xf>
    <xf numFmtId="1" fontId="3" fillId="35" borderId="14" xfId="0" applyNumberFormat="1" applyFont="1" applyFill="1" applyBorder="1" applyAlignment="1">
      <alignment horizontal="right" vertical="center" wrapText="1" indent="1"/>
    </xf>
    <xf numFmtId="1" fontId="3" fillId="35" borderId="19" xfId="0" applyNumberFormat="1" applyFont="1" applyFill="1" applyBorder="1" applyAlignment="1">
      <alignment horizontal="right" vertical="center" wrapText="1" indent="1"/>
    </xf>
    <xf numFmtId="1" fontId="3" fillId="35" borderId="26" xfId="0" applyNumberFormat="1" applyFont="1" applyFill="1" applyBorder="1" applyAlignment="1">
      <alignment horizontal="right" vertical="center" wrapText="1" indent="1"/>
    </xf>
    <xf numFmtId="1" fontId="6" fillId="0" borderId="17" xfId="0" applyNumberFormat="1" applyFont="1" applyFill="1" applyBorder="1" applyAlignment="1">
      <alignment horizontal="right" vertical="center" wrapText="1" indent="1"/>
    </xf>
    <xf numFmtId="1" fontId="3" fillId="35" borderId="17" xfId="0" applyNumberFormat="1" applyFont="1" applyFill="1" applyBorder="1" applyAlignment="1">
      <alignment horizontal="right" vertical="center" wrapText="1" indent="1"/>
    </xf>
    <xf numFmtId="1" fontId="3" fillId="35" borderId="18" xfId="0" applyNumberFormat="1" applyFont="1" applyFill="1" applyBorder="1" applyAlignment="1">
      <alignment horizontal="right" vertical="center" wrapText="1" indent="1"/>
    </xf>
    <xf numFmtId="3" fontId="6" fillId="24" borderId="13" xfId="0" applyNumberFormat="1" applyFont="1" applyFill="1" applyBorder="1" applyAlignment="1">
      <alignment horizontal="right" vertical="center" indent="1"/>
    </xf>
    <xf numFmtId="3" fontId="6" fillId="24" borderId="14" xfId="0" applyNumberFormat="1" applyFont="1" applyFill="1" applyBorder="1" applyAlignment="1">
      <alignment horizontal="right" vertical="center" indent="1"/>
    </xf>
    <xf numFmtId="0" fontId="74" fillId="0" borderId="0" xfId="40"/>
    <xf numFmtId="0" fontId="9" fillId="0" borderId="13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24" borderId="17" xfId="0" applyNumberFormat="1" applyFont="1" applyFill="1" applyBorder="1" applyAlignment="1">
      <alignment horizontal="right" vertical="center" indent="1"/>
    </xf>
    <xf numFmtId="3" fontId="6" fillId="24" borderId="18" xfId="0" applyNumberFormat="1" applyFont="1" applyFill="1" applyBorder="1" applyAlignment="1">
      <alignment horizontal="right" vertical="center" indent="1"/>
    </xf>
    <xf numFmtId="0" fontId="7" fillId="0" borderId="0" xfId="43" applyFont="1" applyAlignment="1">
      <alignment vertical="center" wrapText="1"/>
    </xf>
    <xf numFmtId="0" fontId="6" fillId="0" borderId="0" xfId="43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66" fontId="55" fillId="37" borderId="13" xfId="75" quotePrefix="1" applyNumberFormat="1" applyFont="1" applyFill="1" applyBorder="1" applyAlignment="1" applyProtection="1">
      <alignment horizontal="left" vertical="center" wrapText="1" indent="1"/>
      <protection locked="0"/>
    </xf>
    <xf numFmtId="166" fontId="54" fillId="37" borderId="13" xfId="83" quotePrefix="1" applyNumberFormat="1" applyFont="1" applyFill="1" applyBorder="1" applyAlignment="1" applyProtection="1">
      <alignment horizontal="left" vertical="center" wrapText="1" indent="1"/>
      <protection locked="0"/>
    </xf>
    <xf numFmtId="166" fontId="54" fillId="37" borderId="13" xfId="82" quotePrefix="1" applyNumberFormat="1" applyFont="1" applyFill="1" applyBorder="1" applyProtection="1">
      <alignment horizontal="left" vertical="center" indent="1"/>
      <protection locked="0"/>
    </xf>
    <xf numFmtId="0" fontId="7" fillId="0" borderId="13" xfId="0" applyFont="1" applyBorder="1"/>
    <xf numFmtId="166" fontId="55" fillId="37" borderId="13" xfId="50" quotePrefix="1" applyNumberFormat="1" applyFont="1" applyFill="1" applyBorder="1">
      <alignment horizontal="left" vertical="center" indent="1"/>
    </xf>
    <xf numFmtId="166" fontId="55" fillId="37" borderId="13" xfId="50" applyNumberFormat="1" applyFont="1" applyFill="1" applyBorder="1">
      <alignment horizontal="left" vertical="center" indent="1"/>
    </xf>
    <xf numFmtId="166" fontId="54" fillId="37" borderId="13" xfId="82" applyNumberFormat="1" applyFont="1" applyFill="1" applyBorder="1" applyAlignment="1" applyProtection="1">
      <alignment vertical="center"/>
      <protection locked="0"/>
    </xf>
    <xf numFmtId="166" fontId="55" fillId="37" borderId="13" xfId="82" quotePrefix="1" applyNumberFormat="1" applyFont="1" applyFill="1" applyBorder="1" applyProtection="1">
      <alignment horizontal="left" vertical="center" indent="1"/>
      <protection locked="0"/>
    </xf>
    <xf numFmtId="166" fontId="54" fillId="37" borderId="13" xfId="83" applyNumberFormat="1" applyFont="1" applyFill="1" applyBorder="1" applyAlignment="1" applyProtection="1">
      <alignment horizontal="left" vertical="center" wrapText="1" indent="1"/>
      <protection locked="0"/>
    </xf>
    <xf numFmtId="3" fontId="7" fillId="35" borderId="13" xfId="43" applyNumberFormat="1" applyFont="1" applyFill="1" applyBorder="1" applyAlignment="1">
      <alignment horizontal="right" vertical="center" wrapText="1" indent="1"/>
    </xf>
    <xf numFmtId="49" fontId="7" fillId="0" borderId="20" xfId="41" applyNumberFormat="1" applyFont="1" applyBorder="1" applyAlignment="1">
      <alignment horizontal="center"/>
    </xf>
    <xf numFmtId="49" fontId="7" fillId="0" borderId="35" xfId="41" applyNumberFormat="1" applyFont="1" applyBorder="1" applyAlignment="1">
      <alignment horizontal="center"/>
    </xf>
    <xf numFmtId="3" fontId="2" fillId="24" borderId="31" xfId="0" applyNumberFormat="1" applyFont="1" applyFill="1" applyBorder="1" applyAlignment="1">
      <alignment horizontal="right" vertical="center" wrapText="1" indent="1"/>
    </xf>
    <xf numFmtId="49" fontId="7" fillId="0" borderId="37" xfId="41" applyNumberFormat="1" applyFont="1" applyBorder="1" applyAlignment="1">
      <alignment horizontal="center"/>
    </xf>
    <xf numFmtId="0" fontId="7" fillId="0" borderId="29" xfId="41" applyFont="1" applyBorder="1"/>
    <xf numFmtId="0" fontId="7" fillId="0" borderId="13" xfId="41" applyFont="1" applyBorder="1"/>
    <xf numFmtId="0" fontId="7" fillId="0" borderId="19" xfId="41" applyFont="1" applyBorder="1"/>
    <xf numFmtId="3" fontId="2" fillId="24" borderId="37" xfId="0" applyNumberFormat="1" applyFont="1" applyFill="1" applyBorder="1" applyAlignment="1">
      <alignment horizontal="right" vertical="center" wrapText="1" indent="1"/>
    </xf>
    <xf numFmtId="3" fontId="7" fillId="35" borderId="37" xfId="43" applyNumberFormat="1" applyFont="1" applyFill="1" applyBorder="1" applyAlignment="1">
      <alignment horizontal="right" vertical="center" wrapText="1" indent="1"/>
    </xf>
    <xf numFmtId="3" fontId="7" fillId="35" borderId="20" xfId="43" applyNumberFormat="1" applyFont="1" applyFill="1" applyBorder="1" applyAlignment="1">
      <alignment horizontal="right" vertical="center" wrapText="1" indent="1"/>
    </xf>
    <xf numFmtId="3" fontId="7" fillId="35" borderId="35" xfId="43" applyNumberFormat="1" applyFont="1" applyFill="1" applyBorder="1" applyAlignment="1">
      <alignment horizontal="right" vertical="center" wrapText="1" indent="1"/>
    </xf>
    <xf numFmtId="3" fontId="2" fillId="24" borderId="20" xfId="0" applyNumberFormat="1" applyFont="1" applyFill="1" applyBorder="1" applyAlignment="1">
      <alignment horizontal="right" vertical="center" wrapText="1" indent="1"/>
    </xf>
    <xf numFmtId="3" fontId="2" fillId="24" borderId="44" xfId="0" applyNumberFormat="1" applyFont="1" applyFill="1" applyBorder="1" applyAlignment="1">
      <alignment horizontal="right" vertical="center" wrapText="1" indent="1"/>
    </xf>
    <xf numFmtId="0" fontId="22" fillId="0" borderId="29" xfId="41" applyFont="1" applyBorder="1"/>
    <xf numFmtId="49" fontId="22" fillId="0" borderId="37" xfId="41" applyNumberFormat="1" applyFont="1" applyBorder="1" applyAlignment="1">
      <alignment horizontal="center"/>
    </xf>
    <xf numFmtId="0" fontId="22" fillId="0" borderId="13" xfId="41" applyFont="1" applyBorder="1"/>
    <xf numFmtId="49" fontId="22" fillId="0" borderId="20" xfId="41" applyNumberFormat="1" applyFont="1" applyBorder="1" applyAlignment="1">
      <alignment horizontal="center"/>
    </xf>
    <xf numFmtId="0" fontId="22" fillId="0" borderId="13" xfId="41" applyFont="1" applyBorder="1" applyAlignment="1">
      <alignment vertical="center"/>
    </xf>
    <xf numFmtId="49" fontId="52" fillId="32" borderId="20" xfId="41" applyNumberFormat="1" applyFont="1" applyFill="1" applyBorder="1" applyAlignment="1">
      <alignment horizontal="center"/>
    </xf>
    <xf numFmtId="49" fontId="52" fillId="0" borderId="20" xfId="41" applyNumberFormat="1" applyFont="1" applyBorder="1" applyAlignment="1">
      <alignment horizontal="center"/>
    </xf>
    <xf numFmtId="0" fontId="22" fillId="0" borderId="22" xfId="41" applyFont="1" applyBorder="1" applyAlignment="1">
      <alignment horizontal="left" indent="1"/>
    </xf>
    <xf numFmtId="0" fontId="22" fillId="0" borderId="15" xfId="41" applyFont="1" applyBorder="1" applyAlignment="1">
      <alignment horizontal="left" indent="1"/>
    </xf>
    <xf numFmtId="0" fontId="22" fillId="0" borderId="15" xfId="41" applyFont="1" applyFill="1" applyBorder="1" applyAlignment="1">
      <alignment horizontal="left" indent="1"/>
    </xf>
    <xf numFmtId="166" fontId="3" fillId="0" borderId="0" xfId="0" applyNumberFormat="1" applyFont="1" applyBorder="1"/>
    <xf numFmtId="166" fontId="3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78" fillId="0" borderId="0" xfId="0" applyFont="1"/>
    <xf numFmtId="0" fontId="60" fillId="0" borderId="0" xfId="0" applyFont="1" applyFill="1" applyAlignment="1">
      <alignment horizontal="left" vertical="center" indent="1"/>
    </xf>
    <xf numFmtId="3" fontId="7" fillId="0" borderId="0" xfId="44" applyNumberFormat="1" applyFont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right" vertical="center" wrapText="1" indent="1"/>
    </xf>
    <xf numFmtId="4" fontId="6" fillId="24" borderId="17" xfId="44" applyNumberFormat="1" applyFont="1" applyFill="1" applyBorder="1" applyAlignment="1">
      <alignment horizontal="right" vertical="center" wrapText="1" indent="1"/>
    </xf>
    <xf numFmtId="4" fontId="6" fillId="24" borderId="18" xfId="44" applyNumberFormat="1" applyFont="1" applyFill="1" applyBorder="1" applyAlignment="1">
      <alignment horizontal="right" vertical="center" wrapText="1" indent="1"/>
    </xf>
    <xf numFmtId="0" fontId="61" fillId="0" borderId="14" xfId="0" applyFont="1" applyFill="1" applyBorder="1" applyAlignment="1">
      <alignment horizontal="center" vertical="center" wrapText="1"/>
    </xf>
    <xf numFmtId="49" fontId="6" fillId="0" borderId="13" xfId="42" applyNumberFormat="1" applyFont="1" applyBorder="1" applyAlignment="1">
      <alignment horizontal="left" vertical="center" wrapText="1" indent="1"/>
    </xf>
    <xf numFmtId="3" fontId="6" fillId="24" borderId="13" xfId="42" applyNumberFormat="1" applyFont="1" applyFill="1" applyBorder="1" applyAlignment="1">
      <alignment horizontal="right" vertical="center" wrapText="1" indent="1"/>
    </xf>
    <xf numFmtId="3" fontId="3" fillId="35" borderId="13" xfId="42" applyNumberFormat="1" applyFont="1" applyFill="1" applyBorder="1" applyAlignment="1">
      <alignment horizontal="right" vertical="center" wrapText="1" indent="1"/>
    </xf>
    <xf numFmtId="3" fontId="3" fillId="35" borderId="19" xfId="42" applyNumberFormat="1" applyFont="1" applyFill="1" applyBorder="1" applyAlignment="1">
      <alignment horizontal="right" vertical="center" wrapText="1" indent="1"/>
    </xf>
    <xf numFmtId="0" fontId="3" fillId="0" borderId="19" xfId="42" applyFont="1" applyBorder="1" applyAlignment="1">
      <alignment horizontal="left" vertical="top" wrapText="1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indent="1"/>
    </xf>
    <xf numFmtId="0" fontId="9" fillId="0" borderId="0" xfId="0" applyFont="1"/>
    <xf numFmtId="0" fontId="3" fillId="0" borderId="15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3" fontId="2" fillId="24" borderId="49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indent="1"/>
    </xf>
    <xf numFmtId="0" fontId="22" fillId="0" borderId="0" xfId="0" applyFont="1" applyFill="1" applyBorder="1" applyAlignment="1">
      <alignment vertical="center"/>
    </xf>
    <xf numFmtId="0" fontId="28" fillId="0" borderId="0" xfId="39" applyFont="1" applyAlignment="1">
      <alignment horizontal="center" vertical="center" wrapText="1"/>
    </xf>
    <xf numFmtId="0" fontId="3" fillId="0" borderId="0" xfId="39" applyFont="1"/>
    <xf numFmtId="0" fontId="3" fillId="0" borderId="0" xfId="39" applyFont="1" applyAlignment="1">
      <alignment horizontal="center"/>
    </xf>
    <xf numFmtId="0" fontId="2" fillId="0" borderId="15" xfId="39" applyFont="1" applyBorder="1" applyAlignment="1">
      <alignment horizontal="center" vertical="center" wrapText="1"/>
    </xf>
    <xf numFmtId="49" fontId="2" fillId="0" borderId="13" xfId="39" applyNumberFormat="1" applyFont="1" applyBorder="1" applyAlignment="1">
      <alignment horizontal="center" vertical="center" wrapText="1"/>
    </xf>
    <xf numFmtId="0" fontId="2" fillId="0" borderId="13" xfId="39" applyFont="1" applyBorder="1" applyAlignment="1">
      <alignment horizontal="center" vertical="center" wrapText="1"/>
    </xf>
    <xf numFmtId="0" fontId="2" fillId="0" borderId="14" xfId="39" applyFont="1" applyBorder="1" applyAlignment="1">
      <alignment horizontal="center" vertical="center" wrapText="1"/>
    </xf>
    <xf numFmtId="0" fontId="3" fillId="0" borderId="15" xfId="39" applyFont="1" applyBorder="1" applyAlignment="1">
      <alignment horizontal="center" wrapText="1"/>
    </xf>
    <xf numFmtId="49" fontId="2" fillId="0" borderId="13" xfId="39" applyNumberFormat="1" applyFont="1" applyBorder="1" applyAlignment="1">
      <alignment vertical="top" wrapText="1"/>
    </xf>
    <xf numFmtId="3" fontId="3" fillId="0" borderId="13" xfId="39" applyNumberFormat="1" applyFont="1" applyFill="1" applyBorder="1" applyAlignment="1">
      <alignment horizontal="center" wrapText="1"/>
    </xf>
    <xf numFmtId="0" fontId="3" fillId="0" borderId="15" xfId="39" applyFont="1" applyBorder="1" applyAlignment="1">
      <alignment horizontal="center" vertical="center" wrapText="1"/>
    </xf>
    <xf numFmtId="49" fontId="2" fillId="0" borderId="13" xfId="39" applyNumberFormat="1" applyFont="1" applyBorder="1" applyAlignment="1">
      <alignment horizontal="left" vertical="center" wrapText="1" indent="1"/>
    </xf>
    <xf numFmtId="3" fontId="6" fillId="24" borderId="13" xfId="39" applyNumberFormat="1" applyFont="1" applyFill="1" applyBorder="1" applyAlignment="1">
      <alignment horizontal="right" vertical="center" wrapText="1" indent="1"/>
    </xf>
    <xf numFmtId="3" fontId="3" fillId="35" borderId="13" xfId="39" applyNumberFormat="1" applyFont="1" applyFill="1" applyBorder="1" applyAlignment="1">
      <alignment horizontal="right" vertical="center" wrapText="1" indent="1"/>
    </xf>
    <xf numFmtId="49" fontId="3" fillId="0" borderId="13" xfId="39" applyNumberFormat="1" applyFont="1" applyBorder="1" applyAlignment="1">
      <alignment horizontal="left" vertical="center" wrapText="1" indent="1"/>
    </xf>
    <xf numFmtId="0" fontId="3" fillId="0" borderId="0" xfId="39" applyFont="1" applyFill="1" applyAlignment="1">
      <alignment horizontal="center"/>
    </xf>
    <xf numFmtId="0" fontId="3" fillId="0" borderId="0" xfId="39" applyFont="1" applyFill="1"/>
    <xf numFmtId="49" fontId="7" fillId="36" borderId="13" xfId="39" applyNumberFormat="1" applyFont="1" applyFill="1" applyBorder="1" applyAlignment="1">
      <alignment horizontal="left" vertical="center" wrapText="1" indent="1"/>
    </xf>
    <xf numFmtId="49" fontId="2" fillId="0" borderId="17" xfId="39" applyNumberFormat="1" applyFont="1" applyBorder="1" applyAlignment="1">
      <alignment horizontal="left" vertical="center" wrapText="1" indent="1"/>
    </xf>
    <xf numFmtId="0" fontId="3" fillId="0" borderId="0" xfId="39" applyFont="1" applyFill="1" applyBorder="1" applyAlignment="1">
      <alignment horizontal="center" vertical="center" wrapText="1"/>
    </xf>
    <xf numFmtId="49" fontId="2" fillId="0" borderId="0" xfId="39" applyNumberFormat="1" applyFont="1" applyFill="1" applyBorder="1" applyAlignment="1">
      <alignment horizontal="left" vertical="top" wrapText="1" indent="1"/>
    </xf>
    <xf numFmtId="3" fontId="6" fillId="0" borderId="0" xfId="39" applyNumberFormat="1" applyFont="1" applyFill="1" applyBorder="1" applyAlignment="1">
      <alignment horizontal="right" vertical="center" wrapText="1" indent="1"/>
    </xf>
    <xf numFmtId="0" fontId="7" fillId="0" borderId="0" xfId="39" applyFont="1" applyAlignment="1">
      <alignment horizontal="center"/>
    </xf>
    <xf numFmtId="0" fontId="7" fillId="0" borderId="0" xfId="39" applyFont="1"/>
    <xf numFmtId="49" fontId="7" fillId="0" borderId="0" xfId="39" applyNumberFormat="1" applyFont="1"/>
    <xf numFmtId="49" fontId="3" fillId="0" borderId="0" xfId="39" applyNumberFormat="1" applyFont="1"/>
    <xf numFmtId="0" fontId="3" fillId="0" borderId="2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42" applyFont="1" applyBorder="1" applyAlignment="1">
      <alignment horizontal="center" vertical="center" wrapText="1"/>
    </xf>
    <xf numFmtId="3" fontId="6" fillId="24" borderId="14" xfId="42" applyNumberFormat="1" applyFont="1" applyFill="1" applyBorder="1" applyAlignment="1">
      <alignment horizontal="right" vertical="center" wrapText="1" indent="1"/>
    </xf>
    <xf numFmtId="0" fontId="3" fillId="0" borderId="16" xfId="42" applyFont="1" applyBorder="1" applyAlignment="1">
      <alignment horizontal="center" vertical="center" wrapText="1"/>
    </xf>
    <xf numFmtId="3" fontId="2" fillId="24" borderId="17" xfId="42" applyNumberFormat="1" applyFont="1" applyFill="1" applyBorder="1" applyAlignment="1">
      <alignment horizontal="right" vertical="center" wrapText="1" indent="1"/>
    </xf>
    <xf numFmtId="3" fontId="6" fillId="24" borderId="17" xfId="42" applyNumberFormat="1" applyFont="1" applyFill="1" applyBorder="1" applyAlignment="1">
      <alignment horizontal="right" vertical="center" wrapText="1" indent="1"/>
    </xf>
    <xf numFmtId="3" fontId="6" fillId="24" borderId="18" xfId="42" applyNumberFormat="1" applyFont="1" applyFill="1" applyBorder="1" applyAlignment="1">
      <alignment horizontal="right" vertical="center" wrapText="1" indent="1"/>
    </xf>
    <xf numFmtId="3" fontId="3" fillId="0" borderId="38" xfId="39" applyNumberFormat="1" applyFont="1" applyFill="1" applyBorder="1" applyAlignment="1">
      <alignment horizontal="center" wrapText="1"/>
    </xf>
    <xf numFmtId="49" fontId="7" fillId="0" borderId="13" xfId="39" applyNumberFormat="1" applyFont="1" applyBorder="1" applyAlignment="1">
      <alignment horizontal="left" vertical="center" wrapText="1" indent="1"/>
    </xf>
    <xf numFmtId="49" fontId="3" fillId="0" borderId="13" xfId="39" applyNumberFormat="1" applyFont="1" applyFill="1" applyBorder="1" applyAlignment="1">
      <alignment horizontal="left" vertical="center" wrapText="1" indent="1"/>
    </xf>
    <xf numFmtId="0" fontId="77" fillId="0" borderId="16" xfId="4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49" fontId="52" fillId="32" borderId="52" xfId="41" applyNumberFormat="1" applyFont="1" applyFill="1" applyBorder="1" applyAlignment="1">
      <alignment horizontal="center" vertical="center"/>
    </xf>
    <xf numFmtId="0" fontId="7" fillId="0" borderId="15" xfId="41" applyFont="1" applyBorder="1" applyAlignment="1">
      <alignment horizontal="left" indent="1"/>
    </xf>
    <xf numFmtId="0" fontId="7" fillId="0" borderId="22" xfId="41" applyFont="1" applyBorder="1" applyAlignment="1">
      <alignment horizontal="left" indent="1"/>
    </xf>
    <xf numFmtId="0" fontId="7" fillId="0" borderId="15" xfId="41" applyFont="1" applyFill="1" applyBorder="1" applyAlignment="1">
      <alignment horizontal="left" indent="1"/>
    </xf>
    <xf numFmtId="0" fontId="7" fillId="0" borderId="21" xfId="41" applyFont="1" applyFill="1" applyBorder="1" applyAlignment="1">
      <alignment horizontal="left" indent="1"/>
    </xf>
    <xf numFmtId="0" fontId="3" fillId="0" borderId="15" xfId="39" applyFont="1" applyFill="1" applyBorder="1" applyAlignment="1">
      <alignment horizontal="center" vertical="center" wrapText="1"/>
    </xf>
    <xf numFmtId="0" fontId="3" fillId="0" borderId="16" xfId="39" applyFont="1" applyFill="1" applyBorder="1" applyAlignment="1">
      <alignment horizontal="center" vertical="center" wrapText="1"/>
    </xf>
    <xf numFmtId="0" fontId="75" fillId="0" borderId="13" xfId="44" applyFont="1" applyBorder="1" applyAlignment="1">
      <alignment horizontal="center" vertical="center" wrapText="1"/>
    </xf>
    <xf numFmtId="0" fontId="77" fillId="0" borderId="19" xfId="41" applyFont="1" applyBorder="1"/>
    <xf numFmtId="49" fontId="80" fillId="0" borderId="17" xfId="42" applyNumberFormat="1" applyFont="1" applyBorder="1" applyAlignment="1">
      <alignment horizontal="left" vertical="center" wrapText="1" indent="1"/>
    </xf>
    <xf numFmtId="0" fontId="3" fillId="0" borderId="0" xfId="39" applyFont="1" applyAlignment="1">
      <alignment vertical="center" wrapText="1"/>
    </xf>
    <xf numFmtId="0" fontId="3" fillId="0" borderId="0" xfId="39" applyFont="1" applyBorder="1" applyAlignment="1">
      <alignment horizontal="center" vertical="center" wrapText="1"/>
    </xf>
    <xf numFmtId="0" fontId="6" fillId="0" borderId="0" xfId="39" applyFont="1" applyBorder="1" applyAlignment="1">
      <alignment horizontal="left" vertical="center" wrapText="1" indent="1"/>
    </xf>
    <xf numFmtId="49" fontId="31" fillId="0" borderId="0" xfId="39" applyNumberFormat="1" applyFont="1"/>
    <xf numFmtId="49" fontId="7" fillId="0" borderId="13" xfId="42" applyNumberFormat="1" applyFont="1" applyBorder="1" applyAlignment="1">
      <alignment horizontal="left" vertical="center" wrapText="1" indent="1"/>
    </xf>
    <xf numFmtId="3" fontId="3" fillId="35" borderId="13" xfId="42" applyNumberFormat="1" applyFont="1" applyFill="1" applyBorder="1" applyAlignment="1">
      <alignment horizontal="center" vertical="center" wrapText="1"/>
    </xf>
    <xf numFmtId="3" fontId="6" fillId="24" borderId="13" xfId="42" applyNumberFormat="1" applyFont="1" applyFill="1" applyBorder="1" applyAlignment="1">
      <alignment horizontal="center" vertical="center" wrapText="1"/>
    </xf>
    <xf numFmtId="3" fontId="6" fillId="24" borderId="14" xfId="42" applyNumberFormat="1" applyFont="1" applyFill="1" applyBorder="1" applyAlignment="1">
      <alignment horizontal="center" vertical="center" wrapText="1"/>
    </xf>
    <xf numFmtId="165" fontId="69" fillId="38" borderId="13" xfId="0" applyNumberFormat="1" applyFont="1" applyFill="1" applyBorder="1" applyAlignment="1">
      <alignment vertical="center" wrapText="1"/>
    </xf>
    <xf numFmtId="165" fontId="69" fillId="39" borderId="13" xfId="0" applyNumberFormat="1" applyFont="1" applyFill="1" applyBorder="1" applyAlignment="1">
      <alignment vertical="center" wrapText="1"/>
    </xf>
    <xf numFmtId="165" fontId="69" fillId="35" borderId="13" xfId="0" applyNumberFormat="1" applyFont="1" applyFill="1" applyBorder="1" applyAlignment="1">
      <alignment vertical="center" wrapText="1"/>
    </xf>
    <xf numFmtId="165" fontId="69" fillId="24" borderId="13" xfId="0" applyNumberFormat="1" applyFont="1" applyFill="1" applyBorder="1" applyAlignment="1">
      <alignment vertical="center" wrapText="1"/>
    </xf>
    <xf numFmtId="165" fontId="69" fillId="39" borderId="14" xfId="0" applyNumberFormat="1" applyFont="1" applyFill="1" applyBorder="1" applyAlignment="1">
      <alignment vertical="center" wrapText="1"/>
    </xf>
    <xf numFmtId="165" fontId="61" fillId="38" borderId="13" xfId="0" applyNumberFormat="1" applyFont="1" applyFill="1" applyBorder="1" applyAlignment="1">
      <alignment vertical="center" wrapText="1"/>
    </xf>
    <xf numFmtId="165" fontId="61" fillId="35" borderId="13" xfId="0" applyNumberFormat="1" applyFont="1" applyFill="1" applyBorder="1" applyAlignment="1">
      <alignment vertical="center" wrapText="1"/>
    </xf>
    <xf numFmtId="165" fontId="69" fillId="0" borderId="13" xfId="0" applyNumberFormat="1" applyFont="1" applyFill="1" applyBorder="1" applyAlignment="1">
      <alignment horizontal="center" vertical="center" wrapText="1"/>
    </xf>
    <xf numFmtId="165" fontId="83" fillId="0" borderId="13" xfId="0" applyNumberFormat="1" applyFont="1" applyFill="1" applyBorder="1" applyAlignment="1">
      <alignment horizontal="center" vertical="center" wrapText="1"/>
    </xf>
    <xf numFmtId="165" fontId="84" fillId="38" borderId="13" xfId="0" applyNumberFormat="1" applyFont="1" applyFill="1" applyBorder="1" applyAlignment="1">
      <alignment vertical="center" wrapText="1"/>
    </xf>
    <xf numFmtId="165" fontId="69" fillId="40" borderId="13" xfId="0" applyNumberFormat="1" applyFont="1" applyFill="1" applyBorder="1" applyAlignment="1">
      <alignment horizontal="center" vertical="center" wrapText="1"/>
    </xf>
    <xf numFmtId="165" fontId="83" fillId="40" borderId="13" xfId="0" applyNumberFormat="1" applyFont="1" applyFill="1" applyBorder="1" applyAlignment="1">
      <alignment horizontal="center" vertical="center" wrapText="1"/>
    </xf>
    <xf numFmtId="165" fontId="61" fillId="38" borderId="17" xfId="0" applyNumberFormat="1" applyFont="1" applyFill="1" applyBorder="1" applyAlignment="1">
      <alignment vertical="center"/>
    </xf>
    <xf numFmtId="165" fontId="61" fillId="35" borderId="17" xfId="0" applyNumberFormat="1" applyFont="1" applyFill="1" applyBorder="1" applyAlignment="1">
      <alignment vertical="center"/>
    </xf>
    <xf numFmtId="165" fontId="69" fillId="39" borderId="17" xfId="0" applyNumberFormat="1" applyFont="1" applyFill="1" applyBorder="1" applyAlignment="1">
      <alignment vertical="center" wrapText="1"/>
    </xf>
    <xf numFmtId="165" fontId="69" fillId="39" borderId="18" xfId="0" applyNumberFormat="1" applyFont="1" applyFill="1" applyBorder="1" applyAlignment="1">
      <alignment vertical="center" wrapText="1"/>
    </xf>
    <xf numFmtId="49" fontId="81" fillId="0" borderId="13" xfId="0" applyNumberFormat="1" applyFont="1" applyFill="1" applyBorder="1" applyAlignment="1">
      <alignment horizontal="left" vertical="top" wrapText="1" indent="1"/>
    </xf>
    <xf numFmtId="0" fontId="9" fillId="0" borderId="15" xfId="0" applyFont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left" vertical="top" wrapText="1" indent="1"/>
    </xf>
    <xf numFmtId="49" fontId="81" fillId="0" borderId="13" xfId="0" applyNumberFormat="1" applyFont="1" applyFill="1" applyBorder="1" applyAlignment="1">
      <alignment horizontal="left" wrapText="1" indent="1"/>
    </xf>
    <xf numFmtId="49" fontId="80" fillId="0" borderId="13" xfId="0" applyNumberFormat="1" applyFont="1" applyFill="1" applyBorder="1" applyAlignment="1">
      <alignment horizontal="left" vertical="top" wrapText="1"/>
    </xf>
    <xf numFmtId="49" fontId="81" fillId="0" borderId="13" xfId="0" applyNumberFormat="1" applyFont="1" applyFill="1" applyBorder="1" applyAlignment="1">
      <alignment horizontal="left" vertical="center" wrapText="1" indent="1"/>
    </xf>
    <xf numFmtId="49" fontId="81" fillId="0" borderId="13" xfId="0" applyNumberFormat="1" applyFont="1" applyFill="1" applyBorder="1" applyAlignment="1">
      <alignment horizontal="left" vertical="center" wrapText="1"/>
    </xf>
    <xf numFmtId="49" fontId="81" fillId="36" borderId="13" xfId="0" applyNumberFormat="1" applyFont="1" applyFill="1" applyBorder="1" applyAlignment="1">
      <alignment horizontal="left" vertical="top" wrapText="1" indent="1"/>
    </xf>
    <xf numFmtId="49" fontId="77" fillId="0" borderId="13" xfId="0" applyNumberFormat="1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left" vertical="center" wrapText="1" indent="1"/>
    </xf>
    <xf numFmtId="49" fontId="76" fillId="0" borderId="0" xfId="0" applyNumberFormat="1" applyFont="1" applyAlignment="1">
      <alignment horizontal="left" vertical="center"/>
    </xf>
    <xf numFmtId="3" fontId="3" fillId="35" borderId="13" xfId="0" applyNumberFormat="1" applyFont="1" applyFill="1" applyBorder="1" applyAlignment="1">
      <alignment horizontal="center" vertical="center" wrapText="1"/>
    </xf>
    <xf numFmtId="0" fontId="76" fillId="0" borderId="0" xfId="0" applyFont="1"/>
    <xf numFmtId="3" fontId="59" fillId="0" borderId="0" xfId="0" applyNumberFormat="1" applyFont="1"/>
    <xf numFmtId="3" fontId="2" fillId="24" borderId="52" xfId="0" applyNumberFormat="1" applyFont="1" applyFill="1" applyBorder="1" applyAlignment="1">
      <alignment horizontal="right" vertical="center" wrapText="1" indent="1"/>
    </xf>
    <xf numFmtId="3" fontId="2" fillId="24" borderId="63" xfId="0" applyNumberFormat="1" applyFont="1" applyFill="1" applyBorder="1" applyAlignment="1">
      <alignment horizontal="right" vertical="center" wrapText="1" indent="1"/>
    </xf>
    <xf numFmtId="49" fontId="52" fillId="32" borderId="28" xfId="41" applyNumberFormat="1" applyFont="1" applyFill="1" applyBorder="1" applyAlignment="1">
      <alignment horizontal="center"/>
    </xf>
    <xf numFmtId="3" fontId="2" fillId="24" borderId="54" xfId="0" applyNumberFormat="1" applyFont="1" applyFill="1" applyBorder="1" applyAlignment="1">
      <alignment horizontal="right" vertical="center" wrapText="1" indent="1"/>
    </xf>
    <xf numFmtId="3" fontId="2" fillId="24" borderId="42" xfId="0" applyNumberFormat="1" applyFont="1" applyFill="1" applyBorder="1" applyAlignment="1">
      <alignment horizontal="right" vertical="center" wrapText="1" indent="1"/>
    </xf>
    <xf numFmtId="3" fontId="2" fillId="24" borderId="43" xfId="0" applyNumberFormat="1" applyFont="1" applyFill="1" applyBorder="1" applyAlignment="1">
      <alignment horizontal="right" vertical="center" wrapText="1" indent="1"/>
    </xf>
    <xf numFmtId="3" fontId="2" fillId="24" borderId="62" xfId="0" applyNumberFormat="1" applyFont="1" applyFill="1" applyBorder="1" applyAlignment="1">
      <alignment horizontal="right" vertical="center" wrapText="1" indent="1"/>
    </xf>
    <xf numFmtId="49" fontId="7" fillId="0" borderId="0" xfId="0" applyNumberFormat="1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82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 indent="1"/>
    </xf>
    <xf numFmtId="0" fontId="6" fillId="0" borderId="70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right" vertical="center" wrapText="1" indent="1"/>
    </xf>
    <xf numFmtId="49" fontId="89" fillId="0" borderId="51" xfId="39" applyNumberFormat="1" applyFont="1" applyBorder="1"/>
    <xf numFmtId="0" fontId="22" fillId="0" borderId="27" xfId="39" applyFont="1" applyBorder="1"/>
    <xf numFmtId="14" fontId="78" fillId="0" borderId="0" xfId="39" applyNumberFormat="1" applyFont="1" applyAlignment="1">
      <alignment vertical="center" wrapText="1"/>
    </xf>
    <xf numFmtId="0" fontId="78" fillId="0" borderId="0" xfId="39" applyFont="1" applyAlignment="1">
      <alignment vertical="center" wrapText="1"/>
    </xf>
    <xf numFmtId="0" fontId="22" fillId="0" borderId="20" xfId="39" applyFont="1" applyBorder="1" applyAlignment="1">
      <alignment vertical="center"/>
    </xf>
    <xf numFmtId="0" fontId="22" fillId="0" borderId="51" xfId="39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6" fillId="24" borderId="71" xfId="0" applyNumberFormat="1" applyFont="1" applyFill="1" applyBorder="1" applyAlignment="1">
      <alignment horizontal="right" vertical="center" wrapText="1" indent="1"/>
    </xf>
    <xf numFmtId="3" fontId="6" fillId="24" borderId="5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Alignment="1">
      <alignment horizontal="right" vertical="center" indent="1"/>
    </xf>
    <xf numFmtId="49" fontId="78" fillId="0" borderId="0" xfId="0" applyNumberFormat="1" applyFont="1" applyBorder="1" applyAlignment="1">
      <alignment horizontal="left" vertical="center" wrapText="1" indent="1"/>
    </xf>
    <xf numFmtId="0" fontId="66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1" fillId="0" borderId="0" xfId="0" applyFont="1"/>
    <xf numFmtId="0" fontId="92" fillId="0" borderId="0" xfId="0" applyFont="1"/>
    <xf numFmtId="0" fontId="78" fillId="0" borderId="0" xfId="0" applyFont="1" applyFill="1"/>
    <xf numFmtId="0" fontId="76" fillId="0" borderId="0" xfId="0" applyFont="1" applyFill="1"/>
    <xf numFmtId="49" fontId="81" fillId="0" borderId="13" xfId="0" applyNumberFormat="1" applyFont="1" applyFill="1" applyBorder="1" applyAlignment="1" applyProtection="1">
      <alignment horizontal="left" vertical="top" wrapText="1" indent="1"/>
      <protection locked="0"/>
    </xf>
    <xf numFmtId="3" fontId="22" fillId="0" borderId="0" xfId="44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6" fillId="24" borderId="17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Alignment="1">
      <alignment vertical="center" wrapText="1"/>
    </xf>
    <xf numFmtId="0" fontId="7" fillId="0" borderId="13" xfId="39" applyFont="1" applyBorder="1" applyAlignment="1">
      <alignment horizontal="center" vertical="center" wrapText="1"/>
    </xf>
    <xf numFmtId="0" fontId="6" fillId="0" borderId="13" xfId="39" applyFont="1" applyBorder="1" applyAlignment="1">
      <alignment horizontal="center" vertical="center" wrapText="1"/>
    </xf>
    <xf numFmtId="0" fontId="6" fillId="0" borderId="13" xfId="39" applyFont="1" applyBorder="1" applyAlignment="1">
      <alignment horizontal="left" vertical="center" wrapText="1" indent="1"/>
    </xf>
    <xf numFmtId="0" fontId="7" fillId="0" borderId="14" xfId="39" applyFont="1" applyBorder="1" applyAlignment="1">
      <alignment horizontal="center" vertical="center" wrapText="1"/>
    </xf>
    <xf numFmtId="0" fontId="6" fillId="0" borderId="14" xfId="39" applyFont="1" applyBorder="1" applyAlignment="1">
      <alignment horizontal="center" vertical="center" wrapText="1"/>
    </xf>
    <xf numFmtId="3" fontId="6" fillId="24" borderId="14" xfId="39" applyNumberFormat="1" applyFont="1" applyFill="1" applyBorder="1" applyAlignment="1">
      <alignment horizontal="right" vertical="center" wrapText="1" indent="1"/>
    </xf>
    <xf numFmtId="3" fontId="3" fillId="35" borderId="14" xfId="39" applyNumberFormat="1" applyFont="1" applyFill="1" applyBorder="1" applyAlignment="1">
      <alignment horizontal="right" vertical="center" wrapText="1" indent="1"/>
    </xf>
    <xf numFmtId="0" fontId="3" fillId="0" borderId="16" xfId="39" applyFont="1" applyBorder="1" applyAlignment="1">
      <alignment horizontal="center" vertical="center" wrapText="1"/>
    </xf>
    <xf numFmtId="0" fontId="6" fillId="0" borderId="17" xfId="39" applyFont="1" applyBorder="1" applyAlignment="1">
      <alignment horizontal="left" vertical="center" wrapText="1" indent="1"/>
    </xf>
    <xf numFmtId="3" fontId="3" fillId="35" borderId="17" xfId="39" applyNumberFormat="1" applyFont="1" applyFill="1" applyBorder="1" applyAlignment="1">
      <alignment horizontal="right" vertical="center" wrapText="1" indent="1"/>
    </xf>
    <xf numFmtId="3" fontId="3" fillId="35" borderId="18" xfId="39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95" fillId="0" borderId="13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75" fillId="0" borderId="13" xfId="40" applyFont="1" applyBorder="1" applyAlignment="1">
      <alignment horizontal="center" vertical="center"/>
    </xf>
    <xf numFmtId="0" fontId="75" fillId="0" borderId="13" xfId="40" applyFont="1" applyBorder="1" applyAlignment="1">
      <alignment vertical="center"/>
    </xf>
    <xf numFmtId="0" fontId="75" fillId="0" borderId="23" xfId="40" applyFont="1" applyBorder="1" applyAlignment="1">
      <alignment horizontal="center" vertical="center" wrapText="1"/>
    </xf>
    <xf numFmtId="0" fontId="75" fillId="0" borderId="25" xfId="40" applyFont="1" applyBorder="1" applyAlignment="1">
      <alignment horizontal="center" vertical="center"/>
    </xf>
    <xf numFmtId="0" fontId="75" fillId="0" borderId="25" xfId="40" applyFont="1" applyBorder="1" applyAlignment="1">
      <alignment horizontal="center" vertical="center" wrapText="1"/>
    </xf>
    <xf numFmtId="0" fontId="75" fillId="0" borderId="24" xfId="40" applyFont="1" applyBorder="1" applyAlignment="1">
      <alignment horizontal="center" vertical="center" wrapText="1"/>
    </xf>
    <xf numFmtId="0" fontId="75" fillId="0" borderId="15" xfId="40" applyFont="1" applyBorder="1" applyAlignment="1">
      <alignment vertical="center"/>
    </xf>
    <xf numFmtId="0" fontId="75" fillId="0" borderId="14" xfId="40" applyFont="1" applyBorder="1" applyAlignment="1">
      <alignment horizontal="center" vertical="center"/>
    </xf>
    <xf numFmtId="0" fontId="75" fillId="0" borderId="17" xfId="40" applyFont="1" applyBorder="1" applyAlignment="1">
      <alignment horizontal="left" vertical="center" indent="1"/>
    </xf>
    <xf numFmtId="0" fontId="77" fillId="0" borderId="22" xfId="40" applyFont="1" applyBorder="1" applyAlignment="1">
      <alignment horizontal="center" vertical="center"/>
    </xf>
    <xf numFmtId="0" fontId="75" fillId="0" borderId="29" xfId="40" applyFont="1" applyBorder="1" applyAlignment="1">
      <alignment horizontal="left" vertical="center" indent="1"/>
    </xf>
    <xf numFmtId="0" fontId="77" fillId="0" borderId="77" xfId="40" applyFont="1" applyBorder="1" applyAlignment="1">
      <alignment horizontal="center" vertical="center"/>
    </xf>
    <xf numFmtId="0" fontId="75" fillId="0" borderId="78" xfId="40" applyFont="1" applyBorder="1" applyAlignment="1">
      <alignment horizontal="left" vertical="center" indent="1"/>
    </xf>
    <xf numFmtId="166" fontId="6" fillId="24" borderId="71" xfId="0" applyNumberFormat="1" applyFont="1" applyFill="1" applyBorder="1" applyAlignment="1">
      <alignment horizontal="right" vertical="center" wrapText="1" indent="1"/>
    </xf>
    <xf numFmtId="3" fontId="6" fillId="35" borderId="81" xfId="0" applyNumberFormat="1" applyFont="1" applyFill="1" applyBorder="1" applyAlignment="1">
      <alignment horizontal="right" vertical="center" wrapText="1" indent="1"/>
    </xf>
    <xf numFmtId="165" fontId="6" fillId="24" borderId="80" xfId="0" applyNumberFormat="1" applyFont="1" applyFill="1" applyBorder="1" applyAlignment="1">
      <alignment horizontal="right" vertical="center" wrapText="1" indent="1"/>
    </xf>
    <xf numFmtId="166" fontId="6" fillId="24" borderId="50" xfId="0" applyNumberFormat="1" applyFont="1" applyFill="1" applyBorder="1" applyAlignment="1">
      <alignment horizontal="right" vertical="center" wrapText="1" indent="1"/>
    </xf>
    <xf numFmtId="0" fontId="92" fillId="0" borderId="0" xfId="0" applyFont="1" applyAlignment="1">
      <alignment wrapText="1"/>
    </xf>
    <xf numFmtId="0" fontId="74" fillId="0" borderId="0" xfId="40" applyFill="1"/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8" fillId="0" borderId="0" xfId="0" applyFont="1" applyAlignment="1">
      <alignment horizontal="center"/>
    </xf>
    <xf numFmtId="0" fontId="3" fillId="0" borderId="0" xfId="39" applyFont="1" applyBorder="1" applyAlignment="1">
      <alignment vertical="center" wrapText="1"/>
    </xf>
    <xf numFmtId="49" fontId="96" fillId="0" borderId="13" xfId="42" applyNumberFormat="1" applyFont="1" applyBorder="1" applyAlignment="1">
      <alignment horizontal="left" vertical="center" wrapText="1" indent="1"/>
    </xf>
    <xf numFmtId="0" fontId="91" fillId="0" borderId="0" xfId="39" applyFont="1" applyBorder="1" applyAlignment="1">
      <alignment vertical="center"/>
    </xf>
    <xf numFmtId="49" fontId="92" fillId="0" borderId="13" xfId="42" applyNumberFormat="1" applyFont="1" applyBorder="1" applyAlignment="1">
      <alignment horizontal="left" vertical="center" wrapText="1" indent="1"/>
    </xf>
    <xf numFmtId="0" fontId="3" fillId="0" borderId="21" xfId="42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49" fontId="6" fillId="0" borderId="13" xfId="0" applyNumberFormat="1" applyFont="1" applyFill="1" applyBorder="1" applyAlignment="1">
      <alignment horizontal="left" vertical="center" indent="1"/>
    </xf>
    <xf numFmtId="49" fontId="6" fillId="37" borderId="13" xfId="0" applyNumberFormat="1" applyFont="1" applyFill="1" applyBorder="1" applyAlignment="1">
      <alignment horizontal="left" vertical="center" indent="1"/>
    </xf>
    <xf numFmtId="49" fontId="7" fillId="0" borderId="19" xfId="0" applyNumberFormat="1" applyFont="1" applyFill="1" applyBorder="1" applyAlignment="1">
      <alignment horizontal="left" vertical="center" wrapText="1" indent="1"/>
    </xf>
    <xf numFmtId="49" fontId="52" fillId="0" borderId="17" xfId="0" applyNumberFormat="1" applyFont="1" applyFill="1" applyBorder="1" applyAlignment="1">
      <alignment horizontal="left" vertical="center" wrapText="1" indent="1"/>
    </xf>
    <xf numFmtId="49" fontId="85" fillId="0" borderId="19" xfId="0" applyNumberFormat="1" applyFont="1" applyBorder="1" applyAlignment="1">
      <alignment horizontal="left" vertical="center" wrapText="1" indent="1"/>
    </xf>
    <xf numFmtId="49" fontId="76" fillId="0" borderId="13" xfId="0" applyNumberFormat="1" applyFont="1" applyBorder="1" applyAlignment="1">
      <alignment horizontal="left" vertical="center" wrapText="1" indent="1"/>
    </xf>
    <xf numFmtId="49" fontId="76" fillId="0" borderId="19" xfId="0" applyNumberFormat="1" applyFont="1" applyBorder="1" applyAlignment="1">
      <alignment horizontal="left" vertical="center" wrapText="1" indent="1"/>
    </xf>
    <xf numFmtId="1" fontId="6" fillId="24" borderId="14" xfId="0" applyNumberFormat="1" applyFont="1" applyFill="1" applyBorder="1" applyAlignment="1">
      <alignment horizontal="right" vertical="center" wrapText="1" indent="1"/>
    </xf>
    <xf numFmtId="0" fontId="80" fillId="0" borderId="27" xfId="0" applyFont="1" applyBorder="1" applyAlignment="1">
      <alignment horizontal="left" vertical="center" wrapText="1" indent="1"/>
    </xf>
    <xf numFmtId="3" fontId="81" fillId="35" borderId="13" xfId="0" applyNumberFormat="1" applyFont="1" applyFill="1" applyBorder="1" applyAlignment="1">
      <alignment horizontal="right" vertical="center" wrapText="1" indent="1"/>
    </xf>
    <xf numFmtId="0" fontId="80" fillId="0" borderId="74" xfId="0" applyFont="1" applyBorder="1" applyAlignment="1">
      <alignment horizontal="left" vertical="center" wrapText="1" indent="1"/>
    </xf>
    <xf numFmtId="0" fontId="81" fillId="0" borderId="7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 wrapText="1"/>
    </xf>
    <xf numFmtId="0" fontId="75" fillId="0" borderId="57" xfId="0" applyFont="1" applyBorder="1" applyAlignment="1">
      <alignment horizontal="center" vertical="center"/>
    </xf>
    <xf numFmtId="49" fontId="80" fillId="0" borderId="17" xfId="0" applyNumberFormat="1" applyFont="1" applyFill="1" applyBorder="1" applyAlignment="1">
      <alignment horizontal="left" vertical="top" wrapText="1" indent="1"/>
    </xf>
    <xf numFmtId="49" fontId="81" fillId="0" borderId="0" xfId="0" applyNumberFormat="1" applyFont="1" applyAlignment="1">
      <alignment horizontal="left" wrapText="1"/>
    </xf>
    <xf numFmtId="49" fontId="99" fillId="0" borderId="13" xfId="0" applyNumberFormat="1" applyFont="1" applyFill="1" applyBorder="1" applyAlignment="1">
      <alignment horizontal="left" vertical="top" wrapText="1" indent="1"/>
    </xf>
    <xf numFmtId="49" fontId="78" fillId="0" borderId="13" xfId="0" applyNumberFormat="1" applyFont="1" applyFill="1" applyBorder="1" applyAlignment="1">
      <alignment horizontal="left" vertical="top" wrapText="1" indent="1"/>
    </xf>
    <xf numFmtId="49" fontId="78" fillId="0" borderId="13" xfId="0" applyNumberFormat="1" applyFont="1" applyFill="1" applyBorder="1" applyAlignment="1">
      <alignment horizontal="left" vertical="center" wrapText="1" indent="1"/>
    </xf>
    <xf numFmtId="49" fontId="76" fillId="0" borderId="13" xfId="0" applyNumberFormat="1" applyFont="1" applyFill="1" applyBorder="1" applyAlignment="1">
      <alignment horizontal="left" vertical="center" wrapText="1" indent="1"/>
    </xf>
    <xf numFmtId="3" fontId="6" fillId="0" borderId="22" xfId="43" applyNumberFormat="1" applyFont="1" applyFill="1" applyBorder="1" applyAlignment="1">
      <alignment horizontal="center" vertical="center" wrapText="1"/>
    </xf>
    <xf numFmtId="0" fontId="6" fillId="0" borderId="29" xfId="43" applyNumberFormat="1" applyFont="1" applyFill="1" applyBorder="1" applyAlignment="1">
      <alignment horizontal="center" vertical="center" wrapText="1"/>
    </xf>
    <xf numFmtId="0" fontId="6" fillId="37" borderId="29" xfId="43" applyFont="1" applyFill="1" applyBorder="1" applyAlignment="1">
      <alignment horizontal="center" vertical="center" wrapText="1"/>
    </xf>
    <xf numFmtId="0" fontId="6" fillId="37" borderId="34" xfId="43" applyFont="1" applyFill="1" applyBorder="1" applyAlignment="1">
      <alignment horizontal="center" vertical="center" wrapText="1"/>
    </xf>
    <xf numFmtId="3" fontId="6" fillId="0" borderId="30" xfId="43" applyNumberFormat="1" applyFont="1" applyFill="1" applyBorder="1" applyAlignment="1">
      <alignment horizontal="center" vertical="center" wrapText="1"/>
    </xf>
    <xf numFmtId="0" fontId="6" fillId="0" borderId="30" xfId="43" applyNumberFormat="1" applyFont="1" applyFill="1" applyBorder="1" applyAlignment="1">
      <alignment horizontal="center" vertical="center" wrapText="1"/>
    </xf>
    <xf numFmtId="0" fontId="6" fillId="0" borderId="82" xfId="43" applyNumberFormat="1" applyFont="1" applyFill="1" applyBorder="1" applyAlignment="1">
      <alignment horizontal="center" vertical="center" wrapText="1"/>
    </xf>
    <xf numFmtId="0" fontId="6" fillId="37" borderId="31" xfId="43" applyFont="1" applyFill="1" applyBorder="1" applyAlignment="1">
      <alignment horizontal="center" vertical="center" wrapText="1"/>
    </xf>
    <xf numFmtId="0" fontId="6" fillId="37" borderId="52" xfId="43" applyFont="1" applyFill="1" applyBorder="1" applyAlignment="1">
      <alignment horizontal="center" vertical="center" wrapText="1"/>
    </xf>
    <xf numFmtId="0" fontId="6" fillId="37" borderId="62" xfId="43" applyFont="1" applyFill="1" applyBorder="1" applyAlignment="1">
      <alignment horizontal="center" vertical="center" wrapText="1"/>
    </xf>
    <xf numFmtId="3" fontId="6" fillId="0" borderId="29" xfId="43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78" fillId="0" borderId="0" xfId="0" applyFont="1" applyBorder="1"/>
    <xf numFmtId="0" fontId="3" fillId="0" borderId="13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left" vertical="top" wrapText="1" indent="1"/>
    </xf>
    <xf numFmtId="0" fontId="3" fillId="0" borderId="21" xfId="0" applyFont="1" applyBorder="1" applyAlignment="1">
      <alignment horizontal="center" vertical="center"/>
    </xf>
    <xf numFmtId="3" fontId="6" fillId="24" borderId="26" xfId="0" applyNumberFormat="1" applyFont="1" applyFill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4" fontId="6" fillId="24" borderId="17" xfId="39" applyNumberFormat="1" applyFont="1" applyFill="1" applyBorder="1" applyAlignment="1">
      <alignment horizontal="right" vertical="center" wrapText="1" indent="1"/>
    </xf>
    <xf numFmtId="4" fontId="6" fillId="24" borderId="39" xfId="39" applyNumberFormat="1" applyFont="1" applyFill="1" applyBorder="1" applyAlignment="1">
      <alignment horizontal="right" vertical="center" wrapText="1" indent="1"/>
    </xf>
    <xf numFmtId="0" fontId="87" fillId="37" borderId="0" xfId="0" applyFont="1" applyFill="1"/>
    <xf numFmtId="4" fontId="27" fillId="0" borderId="0" xfId="0" applyNumberFormat="1" applyFont="1" applyBorder="1" applyAlignment="1">
      <alignment horizontal="left" vertical="center"/>
    </xf>
    <xf numFmtId="4" fontId="2" fillId="24" borderId="17" xfId="0" applyNumberFormat="1" applyFont="1" applyFill="1" applyBorder="1" applyAlignment="1" applyProtection="1">
      <alignment horizontal="right" vertical="center" wrapText="1" indent="1"/>
    </xf>
    <xf numFmtId="4" fontId="6" fillId="24" borderId="13" xfId="39" applyNumberFormat="1" applyFont="1" applyFill="1" applyBorder="1" applyAlignment="1">
      <alignment horizontal="right" vertical="center" wrapText="1" indent="1"/>
    </xf>
    <xf numFmtId="4" fontId="6" fillId="24" borderId="38" xfId="39" applyNumberFormat="1" applyFont="1" applyFill="1" applyBorder="1" applyAlignment="1">
      <alignment horizontal="right" vertical="center" wrapText="1" indent="1"/>
    </xf>
    <xf numFmtId="4" fontId="3" fillId="35" borderId="13" xfId="39" applyNumberFormat="1" applyFont="1" applyFill="1" applyBorder="1" applyAlignment="1">
      <alignment horizontal="right" vertical="center" wrapText="1" indent="1"/>
    </xf>
    <xf numFmtId="4" fontId="3" fillId="35" borderId="38" xfId="39" applyNumberFormat="1" applyFont="1" applyFill="1" applyBorder="1" applyAlignment="1">
      <alignment horizontal="right" vertical="center" wrapText="1" indent="1"/>
    </xf>
    <xf numFmtId="4" fontId="3" fillId="24" borderId="13" xfId="39" applyNumberFormat="1" applyFont="1" applyFill="1" applyBorder="1" applyAlignment="1">
      <alignment horizontal="right" vertical="center" wrapText="1" indent="1"/>
    </xf>
    <xf numFmtId="4" fontId="3" fillId="24" borderId="38" xfId="39" applyNumberFormat="1" applyFont="1" applyFill="1" applyBorder="1" applyAlignment="1">
      <alignment horizontal="right" vertical="center" wrapText="1" indent="1"/>
    </xf>
    <xf numFmtId="4" fontId="6" fillId="35" borderId="13" xfId="39" applyNumberFormat="1" applyFont="1" applyFill="1" applyBorder="1" applyAlignment="1">
      <alignment horizontal="right" vertical="center" wrapText="1" indent="1"/>
    </xf>
    <xf numFmtId="4" fontId="6" fillId="35" borderId="38" xfId="39" applyNumberFormat="1" applyFont="1" applyFill="1" applyBorder="1" applyAlignment="1">
      <alignment horizontal="right" vertical="center" wrapText="1" indent="1"/>
    </xf>
    <xf numFmtId="4" fontId="3" fillId="0" borderId="13" xfId="39" applyNumberFormat="1" applyFont="1" applyFill="1" applyBorder="1" applyAlignment="1">
      <alignment horizontal="right" vertical="center" wrapText="1" indent="1"/>
    </xf>
    <xf numFmtId="4" fontId="3" fillId="0" borderId="38" xfId="39" applyNumberFormat="1" applyFont="1" applyFill="1" applyBorder="1" applyAlignment="1">
      <alignment horizontal="right" vertical="center" wrapText="1" indent="1"/>
    </xf>
    <xf numFmtId="4" fontId="7" fillId="35" borderId="38" xfId="39" applyNumberFormat="1" applyFont="1" applyFill="1" applyBorder="1" applyAlignment="1">
      <alignment horizontal="right" vertical="center" wrapText="1" indent="1"/>
    </xf>
    <xf numFmtId="4" fontId="2" fillId="35" borderId="13" xfId="0" applyNumberFormat="1" applyFont="1" applyFill="1" applyBorder="1" applyAlignment="1">
      <alignment horizontal="right" vertical="center" wrapText="1" indent="1"/>
    </xf>
    <xf numFmtId="4" fontId="2" fillId="35" borderId="14" xfId="0" applyNumberFormat="1" applyFont="1" applyFill="1" applyBorder="1" applyAlignment="1">
      <alignment horizontal="right" vertical="center" wrapText="1" indent="1"/>
    </xf>
    <xf numFmtId="4" fontId="2" fillId="24" borderId="13" xfId="0" applyNumberFormat="1" applyFont="1" applyFill="1" applyBorder="1" applyAlignment="1">
      <alignment horizontal="right" vertical="center" wrapText="1" indent="1"/>
    </xf>
    <xf numFmtId="4" fontId="2" fillId="24" borderId="14" xfId="0" applyNumberFormat="1" applyFont="1" applyFill="1" applyBorder="1" applyAlignment="1">
      <alignment horizontal="right" vertical="center" wrapText="1" indent="1"/>
    </xf>
    <xf numFmtId="4" fontId="7" fillId="35" borderId="13" xfId="0" applyNumberFormat="1" applyFont="1" applyFill="1" applyBorder="1" applyAlignment="1">
      <alignment horizontal="right" vertical="center" wrapText="1" indent="1"/>
    </xf>
    <xf numFmtId="4" fontId="7" fillId="35" borderId="14" xfId="0" applyNumberFormat="1" applyFont="1" applyFill="1" applyBorder="1" applyAlignment="1">
      <alignment horizontal="right" vertical="center" wrapText="1" indent="1"/>
    </xf>
    <xf numFmtId="4" fontId="2" fillId="24" borderId="17" xfId="0" applyNumberFormat="1" applyFont="1" applyFill="1" applyBorder="1" applyAlignment="1">
      <alignment horizontal="right" vertical="center" wrapText="1" indent="1"/>
    </xf>
    <xf numFmtId="4" fontId="2" fillId="24" borderId="18" xfId="0" applyNumberFormat="1" applyFont="1" applyFill="1" applyBorder="1" applyAlignment="1">
      <alignment horizontal="righ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6" fillId="24" borderId="13" xfId="0" applyNumberFormat="1" applyFont="1" applyFill="1" applyBorder="1" applyAlignment="1">
      <alignment horizontal="right" vertical="center" wrapText="1" indent="1"/>
    </xf>
    <xf numFmtId="4" fontId="3" fillId="35" borderId="13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vertical="center"/>
    </xf>
    <xf numFmtId="4" fontId="90" fillId="24" borderId="13" xfId="0" applyNumberFormat="1" applyFont="1" applyFill="1" applyBorder="1" applyAlignment="1">
      <alignment horizontal="right" vertical="center" wrapText="1" indent="1"/>
    </xf>
    <xf numFmtId="4" fontId="6" fillId="24" borderId="13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35" borderId="19" xfId="0" applyNumberFormat="1" applyFont="1" applyFill="1" applyBorder="1" applyAlignment="1">
      <alignment vertical="center" wrapText="1"/>
    </xf>
    <xf numFmtId="49" fontId="78" fillId="0" borderId="0" xfId="0" applyNumberFormat="1" applyFont="1" applyAlignment="1">
      <alignment horizontal="left" wrapText="1" indent="1"/>
    </xf>
    <xf numFmtId="4" fontId="3" fillId="0" borderId="0" xfId="0" applyNumberFormat="1" applyFont="1"/>
    <xf numFmtId="4" fontId="3" fillId="35" borderId="13" xfId="0" applyNumberFormat="1" applyFont="1" applyFill="1" applyBorder="1" applyAlignment="1">
      <alignment horizontal="right" vertical="center" wrapText="1" indent="1"/>
    </xf>
    <xf numFmtId="4" fontId="2" fillId="0" borderId="13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right" vertical="center" wrapText="1" indent="1"/>
    </xf>
    <xf numFmtId="4" fontId="3" fillId="35" borderId="13" xfId="0" applyNumberFormat="1" applyFont="1" applyFill="1" applyBorder="1" applyAlignment="1">
      <alignment horizontal="right" vertical="center" wrapText="1"/>
    </xf>
    <xf numFmtId="0" fontId="2" fillId="0" borderId="83" xfId="0" applyFont="1" applyBorder="1" applyAlignment="1">
      <alignment vertical="center" wrapText="1"/>
    </xf>
    <xf numFmtId="49" fontId="102" fillId="41" borderId="84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center" wrapText="1" indent="1"/>
    </xf>
    <xf numFmtId="4" fontId="6" fillId="24" borderId="20" xfId="0" applyNumberFormat="1" applyFont="1" applyFill="1" applyBorder="1" applyAlignment="1">
      <alignment horizontal="right" vertical="center" wrapText="1" indent="1"/>
    </xf>
    <xf numFmtId="4" fontId="6" fillId="24" borderId="60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35" borderId="13" xfId="27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37" borderId="13" xfId="27" applyNumberFormat="1" applyFont="1" applyFill="1" applyBorder="1" applyAlignment="1">
      <alignment horizontal="right" vertical="center" wrapText="1" indent="1"/>
    </xf>
    <xf numFmtId="4" fontId="6" fillId="37" borderId="13" xfId="0" applyNumberFormat="1" applyFont="1" applyFill="1" applyBorder="1" applyAlignment="1">
      <alignment horizontal="right" vertical="center" wrapText="1" indent="1"/>
    </xf>
    <xf numFmtId="4" fontId="6" fillId="37" borderId="20" xfId="0" applyNumberFormat="1" applyFont="1" applyFill="1" applyBorder="1" applyAlignment="1">
      <alignment horizontal="right" vertical="center" wrapText="1" indent="1"/>
    </xf>
    <xf numFmtId="4" fontId="61" fillId="35" borderId="13" xfId="27" applyNumberFormat="1" applyFont="1" applyFill="1" applyBorder="1" applyAlignment="1">
      <alignment horizontal="right" vertical="center" wrapText="1" inden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3" fillId="0" borderId="19" xfId="0" applyNumberFormat="1" applyFont="1" applyBorder="1" applyAlignment="1">
      <alignment vertical="center" wrapText="1"/>
    </xf>
    <xf numFmtId="4" fontId="3" fillId="0" borderId="83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center" wrapText="1" indent="1"/>
    </xf>
    <xf numFmtId="4" fontId="6" fillId="24" borderId="28" xfId="0" applyNumberFormat="1" applyFont="1" applyFill="1" applyBorder="1" applyAlignment="1">
      <alignment horizontal="right" vertical="center" wrapText="1" indent="1"/>
    </xf>
    <xf numFmtId="4" fontId="6" fillId="24" borderId="76" xfId="0" applyNumberFormat="1" applyFont="1" applyFill="1" applyBorder="1" applyAlignment="1">
      <alignment horizontal="right" vertical="center" wrapText="1" indent="1"/>
    </xf>
    <xf numFmtId="4" fontId="3" fillId="0" borderId="55" xfId="0" applyNumberFormat="1" applyFont="1" applyBorder="1" applyAlignment="1">
      <alignment horizontal="center" vertical="center" wrapText="1"/>
    </xf>
    <xf numFmtId="4" fontId="80" fillId="24" borderId="42" xfId="0" applyNumberFormat="1" applyFont="1" applyFill="1" applyBorder="1" applyAlignment="1">
      <alignment horizontal="right" vertical="center" wrapText="1" indent="1"/>
    </xf>
    <xf numFmtId="4" fontId="81" fillId="0" borderId="23" xfId="0" applyNumberFormat="1" applyFont="1" applyBorder="1" applyAlignment="1">
      <alignment vertical="center" wrapText="1"/>
    </xf>
    <xf numFmtId="4" fontId="81" fillId="0" borderId="25" xfId="0" applyNumberFormat="1" applyFont="1" applyBorder="1" applyAlignment="1">
      <alignment vertical="center" wrapText="1"/>
    </xf>
    <xf numFmtId="4" fontId="81" fillId="0" borderId="24" xfId="0" applyNumberFormat="1" applyFont="1" applyBorder="1" applyAlignment="1">
      <alignment vertical="center" wrapText="1"/>
    </xf>
    <xf numFmtId="4" fontId="81" fillId="0" borderId="15" xfId="0" applyNumberFormat="1" applyFont="1" applyBorder="1" applyAlignment="1">
      <alignment vertical="center" wrapText="1"/>
    </xf>
    <xf numFmtId="4" fontId="81" fillId="0" borderId="13" xfId="0" applyNumberFormat="1" applyFont="1" applyBorder="1" applyAlignment="1">
      <alignment vertical="center" wrapText="1"/>
    </xf>
    <xf numFmtId="4" fontId="81" fillId="0" borderId="14" xfId="0" applyNumberFormat="1" applyFont="1" applyBorder="1" applyAlignment="1">
      <alignment vertical="center" wrapText="1"/>
    </xf>
    <xf numFmtId="4" fontId="80" fillId="37" borderId="42" xfId="0" applyNumberFormat="1" applyFont="1" applyFill="1" applyBorder="1" applyAlignment="1">
      <alignment horizontal="right" vertical="center" wrapText="1" indent="1"/>
    </xf>
    <xf numFmtId="4" fontId="81" fillId="0" borderId="15" xfId="0" applyNumberFormat="1" applyFont="1" applyBorder="1" applyAlignment="1">
      <alignment horizontal="center" vertical="center" wrapText="1"/>
    </xf>
    <xf numFmtId="4" fontId="80" fillId="24" borderId="55" xfId="0" applyNumberFormat="1" applyFont="1" applyFill="1" applyBorder="1" applyAlignment="1">
      <alignment horizontal="right" vertical="center" wrapText="1" indent="1"/>
    </xf>
    <xf numFmtId="4" fontId="81" fillId="0" borderId="16" xfId="0" applyNumberFormat="1" applyFont="1" applyBorder="1" applyAlignment="1">
      <alignment vertical="center" wrapText="1"/>
    </xf>
    <xf numFmtId="4" fontId="81" fillId="0" borderId="17" xfId="0" applyNumberFormat="1" applyFont="1" applyBorder="1" applyAlignment="1">
      <alignment vertical="center" wrapText="1"/>
    </xf>
    <xf numFmtId="4" fontId="81" fillId="0" borderId="18" xfId="0" applyNumberFormat="1" applyFont="1" applyBorder="1" applyAlignment="1">
      <alignment vertical="center" wrapText="1"/>
    </xf>
    <xf numFmtId="4" fontId="74" fillId="0" borderId="0" xfId="40" applyNumberFormat="1" applyAlignment="1"/>
    <xf numFmtId="4" fontId="6" fillId="35" borderId="78" xfId="0" applyNumberFormat="1" applyFont="1" applyFill="1" applyBorder="1" applyAlignment="1">
      <alignment horizontal="right" vertical="center" wrapText="1" indent="1"/>
    </xf>
    <xf numFmtId="4" fontId="6" fillId="24" borderId="79" xfId="0" applyNumberFormat="1" applyFont="1" applyFill="1" applyBorder="1" applyAlignment="1">
      <alignment horizontal="right" vertical="center" wrapText="1" indent="1"/>
    </xf>
    <xf numFmtId="4" fontId="80" fillId="24" borderId="13" xfId="0" applyNumberFormat="1" applyFont="1" applyFill="1" applyBorder="1" applyAlignment="1">
      <alignment horizontal="right" vertical="center" wrapText="1" indent="1"/>
    </xf>
    <xf numFmtId="4" fontId="3" fillId="35" borderId="38" xfId="0" applyNumberFormat="1" applyFont="1" applyFill="1" applyBorder="1" applyAlignment="1">
      <alignment horizontal="right" vertical="center" wrapText="1" indent="1"/>
    </xf>
    <xf numFmtId="4" fontId="7" fillId="35" borderId="38" xfId="0" applyNumberFormat="1" applyFont="1" applyFill="1" applyBorder="1" applyAlignment="1">
      <alignment horizontal="right" vertical="center" wrapText="1" indent="1"/>
    </xf>
    <xf numFmtId="4" fontId="6" fillId="24" borderId="38" xfId="0" applyNumberFormat="1" applyFont="1" applyFill="1" applyBorder="1" applyAlignment="1">
      <alignment horizontal="right" vertical="center" wrapText="1" indent="1"/>
    </xf>
    <xf numFmtId="4" fontId="2" fillId="35" borderId="17" xfId="0" applyNumberFormat="1" applyFont="1" applyFill="1" applyBorder="1" applyAlignment="1">
      <alignment horizontal="right" vertical="center" wrapText="1" indent="1"/>
    </xf>
    <xf numFmtId="4" fontId="2" fillId="35" borderId="39" xfId="0" applyNumberFormat="1" applyFont="1" applyFill="1" applyBorder="1" applyAlignment="1">
      <alignment horizontal="right" vertical="center" wrapText="1" indent="1"/>
    </xf>
    <xf numFmtId="4" fontId="3" fillId="35" borderId="19" xfId="0" applyNumberFormat="1" applyFont="1" applyFill="1" applyBorder="1" applyAlignment="1">
      <alignment horizontal="right" vertical="center" wrapText="1" indent="1"/>
    </xf>
    <xf numFmtId="0" fontId="86" fillId="0" borderId="0" xfId="0" applyFont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9" fontId="78" fillId="0" borderId="45" xfId="0" applyNumberFormat="1" applyFont="1" applyBorder="1" applyAlignment="1"/>
    <xf numFmtId="4" fontId="7" fillId="35" borderId="37" xfId="43" applyNumberFormat="1" applyFont="1" applyFill="1" applyBorder="1" applyAlignment="1">
      <alignment horizontal="right" vertical="center" wrapText="1" indent="1"/>
    </xf>
    <xf numFmtId="4" fontId="7" fillId="35" borderId="20" xfId="43" applyNumberFormat="1" applyFont="1" applyFill="1" applyBorder="1" applyAlignment="1">
      <alignment horizontal="right" vertical="center" wrapText="1" indent="1"/>
    </xf>
    <xf numFmtId="4" fontId="7" fillId="35" borderId="35" xfId="43" applyNumberFormat="1" applyFont="1" applyFill="1" applyBorder="1" applyAlignment="1">
      <alignment horizontal="right" vertical="center" wrapText="1" indent="1"/>
    </xf>
    <xf numFmtId="0" fontId="78" fillId="0" borderId="0" xfId="0" applyFont="1" applyAlignment="1">
      <alignment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vertical="center" wrapText="1"/>
    </xf>
    <xf numFmtId="0" fontId="1" fillId="0" borderId="0" xfId="0" applyFont="1" applyBorder="1"/>
    <xf numFmtId="3" fontId="3" fillId="0" borderId="0" xfId="0" applyNumberFormat="1" applyFont="1" applyFill="1" applyBorder="1"/>
    <xf numFmtId="4" fontId="22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 wrapText="1"/>
    </xf>
    <xf numFmtId="2" fontId="104" fillId="0" borderId="0" xfId="40" applyNumberFormat="1" applyFont="1" applyAlignment="1">
      <alignment horizontal="center"/>
    </xf>
    <xf numFmtId="0" fontId="104" fillId="0" borderId="0" xfId="40" applyFont="1"/>
    <xf numFmtId="4" fontId="3" fillId="0" borderId="0" xfId="0" applyNumberFormat="1" applyFont="1" applyFill="1" applyBorder="1"/>
    <xf numFmtId="4" fontId="97" fillId="0" borderId="0" xfId="0" applyNumberFormat="1" applyFont="1" applyFill="1" applyBorder="1" applyAlignment="1">
      <alignment vertical="center"/>
    </xf>
    <xf numFmtId="165" fontId="61" fillId="38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indent="1"/>
    </xf>
    <xf numFmtId="4" fontId="7" fillId="0" borderId="0" xfId="44" applyNumberFormat="1" applyFont="1" applyBorder="1" applyAlignment="1">
      <alignment vertical="center" wrapText="1"/>
    </xf>
    <xf numFmtId="4" fontId="76" fillId="37" borderId="0" xfId="44" applyNumberFormat="1" applyFont="1" applyFill="1" applyBorder="1" applyAlignment="1">
      <alignment horizontal="right" vertical="center" wrapText="1"/>
    </xf>
    <xf numFmtId="4" fontId="92" fillId="37" borderId="0" xfId="44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 inden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43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3" fontId="76" fillId="0" borderId="0" xfId="44" applyNumberFormat="1" applyFont="1" applyBorder="1" applyAlignment="1">
      <alignment vertical="center" wrapText="1"/>
    </xf>
    <xf numFmtId="166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27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/>
    <xf numFmtId="166" fontId="3" fillId="0" borderId="0" xfId="0" applyNumberFormat="1" applyFont="1" applyFill="1" applyBorder="1"/>
    <xf numFmtId="3" fontId="7" fillId="0" borderId="0" xfId="0" applyNumberFormat="1" applyFont="1" applyFill="1" applyAlignment="1">
      <alignment vertical="center" wrapText="1"/>
    </xf>
    <xf numFmtId="14" fontId="96" fillId="0" borderId="0" xfId="39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3" fillId="42" borderId="13" xfId="0" applyNumberFormat="1" applyFont="1" applyFill="1" applyBorder="1" applyAlignment="1">
      <alignment horizontal="right" vertical="center" wrapText="1" indent="1"/>
    </xf>
    <xf numFmtId="3" fontId="7" fillId="42" borderId="13" xfId="0" applyNumberFormat="1" applyFont="1" applyFill="1" applyBorder="1" applyAlignment="1">
      <alignment horizontal="right" vertical="center" wrapText="1" indent="1"/>
    </xf>
    <xf numFmtId="3" fontId="80" fillId="43" borderId="71" xfId="0" applyNumberFormat="1" applyFont="1" applyFill="1" applyBorder="1" applyAlignment="1">
      <alignment horizontal="right" vertical="center" wrapText="1" indent="1"/>
    </xf>
    <xf numFmtId="3" fontId="6" fillId="43" borderId="71" xfId="0" applyNumberFormat="1" applyFont="1" applyFill="1" applyBorder="1" applyAlignment="1">
      <alignment horizontal="right" vertical="center" wrapText="1" indent="1"/>
    </xf>
    <xf numFmtId="0" fontId="105" fillId="0" borderId="0" xfId="0" applyFont="1" applyFill="1" applyAlignment="1">
      <alignment vertical="center"/>
    </xf>
    <xf numFmtId="0" fontId="105" fillId="0" borderId="0" xfId="0" applyFont="1" applyFill="1"/>
    <xf numFmtId="3" fontId="7" fillId="42" borderId="20" xfId="43" applyNumberFormat="1" applyFont="1" applyFill="1" applyBorder="1" applyAlignment="1">
      <alignment horizontal="right" vertical="center" wrapText="1" indent="1"/>
    </xf>
    <xf numFmtId="4" fontId="7" fillId="42" borderId="20" xfId="43" applyNumberFormat="1" applyFont="1" applyFill="1" applyBorder="1" applyAlignment="1">
      <alignment horizontal="right" vertical="center" wrapText="1" indent="1"/>
    </xf>
    <xf numFmtId="0" fontId="81" fillId="0" borderId="0" xfId="0" applyFont="1" applyFill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65" fillId="0" borderId="31" xfId="0" applyFont="1" applyBorder="1"/>
    <xf numFmtId="0" fontId="65" fillId="0" borderId="36" xfId="0" applyFont="1" applyBorder="1"/>
    <xf numFmtId="0" fontId="6" fillId="0" borderId="59" xfId="0" applyFont="1" applyBorder="1" applyAlignment="1">
      <alignment horizontal="left" vertical="center" wrapText="1" indent="1"/>
    </xf>
    <xf numFmtId="0" fontId="6" fillId="0" borderId="70" xfId="0" applyFont="1" applyBorder="1" applyAlignment="1">
      <alignment horizontal="left" vertical="center" wrapText="1" indent="1"/>
    </xf>
    <xf numFmtId="0" fontId="6" fillId="0" borderId="41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34" xfId="0" applyFont="1" applyBorder="1" applyAlignment="1">
      <alignment horizontal="left" vertical="center" wrapText="1" indent="1"/>
    </xf>
    <xf numFmtId="49" fontId="3" fillId="0" borderId="35" xfId="0" applyNumberFormat="1" applyFont="1" applyBorder="1" applyAlignment="1">
      <alignment horizontal="left" wrapText="1"/>
    </xf>
    <xf numFmtId="49" fontId="3" fillId="0" borderId="45" xfId="0" applyNumberFormat="1" applyFont="1" applyBorder="1" applyAlignment="1">
      <alignment horizontal="left" wrapText="1"/>
    </xf>
    <xf numFmtId="49" fontId="3" fillId="0" borderId="46" xfId="0" applyNumberFormat="1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center" wrapText="1" indent="1"/>
    </xf>
    <xf numFmtId="0" fontId="6" fillId="0" borderId="49" xfId="0" applyFont="1" applyBorder="1" applyAlignment="1">
      <alignment horizontal="left" vertical="center" wrapText="1" indent="1"/>
    </xf>
    <xf numFmtId="0" fontId="6" fillId="0" borderId="53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3" fillId="0" borderId="0" xfId="0" applyFont="1" applyAlignment="1">
      <alignment horizontal="left" wrapText="1"/>
    </xf>
    <xf numFmtId="0" fontId="78" fillId="0" borderId="0" xfId="0" applyFont="1" applyFill="1" applyAlignment="1">
      <alignment horizont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/>
    </xf>
    <xf numFmtId="49" fontId="7" fillId="0" borderId="51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80" fillId="0" borderId="56" xfId="39" applyFont="1" applyBorder="1" applyAlignment="1">
      <alignment horizontal="center" vertical="center" wrapText="1"/>
    </xf>
    <xf numFmtId="0" fontId="80" fillId="0" borderId="44" xfId="39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49" fontId="80" fillId="0" borderId="29" xfId="0" applyNumberFormat="1" applyFont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 wrapText="1"/>
    </xf>
    <xf numFmtId="0" fontId="75" fillId="0" borderId="12" xfId="39" applyFont="1" applyBorder="1" applyAlignment="1">
      <alignment horizontal="center" vertical="center" wrapText="1"/>
    </xf>
    <xf numFmtId="0" fontId="75" fillId="0" borderId="73" xfId="39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49" fontId="3" fillId="0" borderId="27" xfId="0" applyNumberFormat="1" applyFont="1" applyBorder="1" applyAlignment="1">
      <alignment horizontal="left"/>
    </xf>
    <xf numFmtId="0" fontId="6" fillId="0" borderId="61" xfId="40" applyFont="1" applyBorder="1" applyAlignment="1">
      <alignment horizontal="center" vertical="center"/>
    </xf>
    <xf numFmtId="0" fontId="6" fillId="0" borderId="57" xfId="40" applyFont="1" applyBorder="1" applyAlignment="1">
      <alignment horizontal="center" vertical="center"/>
    </xf>
    <xf numFmtId="0" fontId="6" fillId="0" borderId="58" xfId="40" applyFont="1" applyBorder="1" applyAlignment="1">
      <alignment horizontal="center" vertical="center"/>
    </xf>
    <xf numFmtId="0" fontId="75" fillId="0" borderId="64" xfId="40" applyFont="1" applyBorder="1" applyAlignment="1">
      <alignment horizontal="left" vertical="center" wrapText="1" indent="1"/>
    </xf>
    <xf numFmtId="0" fontId="75" fillId="0" borderId="65" xfId="40" applyFont="1" applyBorder="1" applyAlignment="1">
      <alignment horizontal="left" vertical="center" wrapText="1" indent="1"/>
    </xf>
    <xf numFmtId="0" fontId="75" fillId="0" borderId="66" xfId="40" applyFont="1" applyBorder="1" applyAlignment="1">
      <alignment horizontal="left" vertical="center" wrapText="1" indent="1"/>
    </xf>
    <xf numFmtId="0" fontId="94" fillId="0" borderId="0" xfId="40" applyFont="1" applyBorder="1" applyAlignment="1">
      <alignment horizontal="left" wrapText="1"/>
    </xf>
    <xf numFmtId="0" fontId="74" fillId="0" borderId="12" xfId="40" applyFill="1" applyBorder="1" applyAlignment="1">
      <alignment horizontal="left" vertical="center" wrapText="1"/>
    </xf>
    <xf numFmtId="0" fontId="74" fillId="0" borderId="0" xfId="40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 indent="1"/>
    </xf>
    <xf numFmtId="0" fontId="6" fillId="0" borderId="7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3" fillId="0" borderId="0" xfId="39" applyFont="1" applyAlignment="1">
      <alignment horizontal="left" wrapText="1"/>
    </xf>
    <xf numFmtId="0" fontId="3" fillId="0" borderId="0" xfId="39" applyFont="1" applyAlignment="1">
      <alignment horizontal="left"/>
    </xf>
    <xf numFmtId="0" fontId="22" fillId="0" borderId="37" xfId="39" applyFont="1" applyBorder="1" applyAlignment="1">
      <alignment horizontal="left" vertical="center"/>
    </xf>
    <xf numFmtId="0" fontId="22" fillId="0" borderId="49" xfId="39" applyFont="1" applyBorder="1" applyAlignment="1">
      <alignment horizontal="left" vertical="center"/>
    </xf>
    <xf numFmtId="0" fontId="22" fillId="0" borderId="32" xfId="39" applyFont="1" applyBorder="1" applyAlignment="1">
      <alignment horizontal="left" vertical="center"/>
    </xf>
    <xf numFmtId="0" fontId="4" fillId="0" borderId="67" xfId="39" applyFont="1" applyBorder="1" applyAlignment="1">
      <alignment horizontal="center" vertical="center" wrapText="1"/>
    </xf>
    <xf numFmtId="0" fontId="4" fillId="0" borderId="68" xfId="39" applyFont="1" applyBorder="1" applyAlignment="1">
      <alignment horizontal="center" vertical="center"/>
    </xf>
    <xf numFmtId="0" fontId="4" fillId="0" borderId="69" xfId="39" applyFont="1" applyBorder="1" applyAlignment="1">
      <alignment horizontal="center" vertical="center"/>
    </xf>
    <xf numFmtId="0" fontId="6" fillId="0" borderId="23" xfId="39" applyFont="1" applyBorder="1" applyAlignment="1">
      <alignment horizontal="left" vertical="center" wrapText="1" indent="1"/>
    </xf>
    <xf numFmtId="0" fontId="6" fillId="0" borderId="25" xfId="39" applyFont="1" applyBorder="1" applyAlignment="1">
      <alignment horizontal="left" vertical="center" wrapText="1" indent="1"/>
    </xf>
    <xf numFmtId="0" fontId="6" fillId="0" borderId="24" xfId="39" applyFont="1" applyBorder="1" applyAlignment="1">
      <alignment horizontal="left" vertical="center" wrapText="1" indent="1"/>
    </xf>
    <xf numFmtId="0" fontId="22" fillId="0" borderId="35" xfId="39" applyFont="1" applyBorder="1" applyAlignment="1">
      <alignment horizontal="left" vertical="center"/>
    </xf>
    <xf numFmtId="0" fontId="22" fillId="0" borderId="45" xfId="39" applyFont="1" applyBorder="1" applyAlignment="1">
      <alignment horizontal="left" vertical="center"/>
    </xf>
    <xf numFmtId="0" fontId="22" fillId="0" borderId="46" xfId="39" applyFont="1" applyBorder="1" applyAlignment="1">
      <alignment horizontal="left" vertical="center"/>
    </xf>
    <xf numFmtId="0" fontId="22" fillId="36" borderId="47" xfId="39" applyFont="1" applyFill="1" applyBorder="1" applyAlignment="1">
      <alignment horizontal="left" vertical="center"/>
    </xf>
    <xf numFmtId="0" fontId="22" fillId="36" borderId="0" xfId="39" applyFont="1" applyFill="1" applyBorder="1" applyAlignment="1">
      <alignment horizontal="left" vertical="center"/>
    </xf>
    <xf numFmtId="0" fontId="22" fillId="36" borderId="48" xfId="39" applyFont="1" applyFill="1" applyBorder="1" applyAlignment="1">
      <alignment horizontal="left" vertical="center"/>
    </xf>
    <xf numFmtId="0" fontId="22" fillId="0" borderId="47" xfId="39" applyFont="1" applyBorder="1" applyAlignment="1">
      <alignment horizontal="left" vertical="center"/>
    </xf>
    <xf numFmtId="0" fontId="22" fillId="0" borderId="0" xfId="39" applyFont="1" applyBorder="1" applyAlignment="1">
      <alignment horizontal="left" vertical="center"/>
    </xf>
    <xf numFmtId="0" fontId="22" fillId="0" borderId="48" xfId="39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36" borderId="34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4" fillId="0" borderId="6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 indent="1"/>
    </xf>
    <xf numFmtId="0" fontId="6" fillId="0" borderId="70" xfId="0" applyFont="1" applyFill="1" applyBorder="1" applyAlignment="1">
      <alignment horizontal="left" vertical="center" wrapText="1" indent="1"/>
    </xf>
    <xf numFmtId="0" fontId="6" fillId="0" borderId="65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9" fillId="0" borderId="15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30" xfId="42" applyFont="1" applyBorder="1" applyAlignment="1">
      <alignment horizontal="center" vertical="center" wrapText="1"/>
    </xf>
    <xf numFmtId="0" fontId="4" fillId="0" borderId="31" xfId="42" applyFont="1" applyBorder="1" applyAlignment="1">
      <alignment horizontal="center" vertical="center" wrapText="1"/>
    </xf>
    <xf numFmtId="0" fontId="4" fillId="0" borderId="36" xfId="42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8" xfId="39" applyFont="1" applyBorder="1" applyAlignment="1">
      <alignment horizontal="center" vertical="center" wrapText="1"/>
    </xf>
    <xf numFmtId="0" fontId="4" fillId="0" borderId="72" xfId="39" applyFont="1" applyBorder="1" applyAlignment="1">
      <alignment horizontal="center" vertical="center" wrapText="1"/>
    </xf>
    <xf numFmtId="0" fontId="4" fillId="0" borderId="69" xfId="39" applyFont="1" applyBorder="1" applyAlignment="1">
      <alignment horizontal="center" vertical="center" wrapText="1"/>
    </xf>
    <xf numFmtId="0" fontId="6" fillId="0" borderId="67" xfId="39" applyFont="1" applyBorder="1" applyAlignment="1">
      <alignment horizontal="left" vertical="center" wrapText="1" indent="1"/>
    </xf>
    <xf numFmtId="0" fontId="6" fillId="0" borderId="68" xfId="39" applyFont="1" applyBorder="1" applyAlignment="1">
      <alignment horizontal="left" vertical="center" wrapText="1" indent="1"/>
    </xf>
    <xf numFmtId="0" fontId="6" fillId="0" borderId="72" xfId="39" applyFont="1" applyBorder="1" applyAlignment="1">
      <alignment horizontal="left" vertical="center" wrapText="1" indent="1"/>
    </xf>
    <xf numFmtId="0" fontId="6" fillId="0" borderId="69" xfId="39" applyFont="1" applyBorder="1" applyAlignment="1">
      <alignment horizontal="left" vertical="center" wrapText="1" indent="1"/>
    </xf>
    <xf numFmtId="0" fontId="6" fillId="0" borderId="25" xfId="39" applyFont="1" applyBorder="1" applyAlignment="1">
      <alignment horizontal="center" vertical="center" wrapText="1"/>
    </xf>
    <xf numFmtId="0" fontId="6" fillId="0" borderId="24" xfId="39" applyFont="1" applyBorder="1" applyAlignment="1">
      <alignment horizontal="center" vertical="center" wrapText="1"/>
    </xf>
    <xf numFmtId="0" fontId="22" fillId="0" borderId="13" xfId="39" applyFont="1" applyBorder="1" applyAlignment="1">
      <alignment horizontal="left" vertical="center" wrapText="1"/>
    </xf>
    <xf numFmtId="49" fontId="2" fillId="0" borderId="25" xfId="39" applyNumberFormat="1" applyFont="1" applyBorder="1" applyAlignment="1">
      <alignment horizontal="center" vertical="center" wrapText="1"/>
    </xf>
    <xf numFmtId="49" fontId="2" fillId="0" borderId="13" xfId="39" applyNumberFormat="1" applyFont="1" applyBorder="1" applyAlignment="1">
      <alignment horizontal="center" vertical="center" wrapText="1"/>
    </xf>
    <xf numFmtId="3" fontId="7" fillId="0" borderId="0" xfId="44" applyNumberFormat="1" applyFont="1" applyBorder="1" applyAlignment="1">
      <alignment horizontal="left" vertical="center" wrapText="1"/>
    </xf>
    <xf numFmtId="3" fontId="6" fillId="0" borderId="22" xfId="44" applyNumberFormat="1" applyFont="1" applyBorder="1" applyAlignment="1">
      <alignment horizontal="center" vertical="center" wrapText="1"/>
    </xf>
    <xf numFmtId="3" fontId="6" fillId="0" borderId="15" xfId="44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10" fillId="0" borderId="61" xfId="44" applyNumberFormat="1" applyFont="1" applyBorder="1" applyAlignment="1">
      <alignment horizontal="center" vertical="center" wrapText="1"/>
    </xf>
    <xf numFmtId="3" fontId="10" fillId="0" borderId="57" xfId="44" applyNumberFormat="1" applyFont="1" applyBorder="1" applyAlignment="1">
      <alignment horizontal="center" vertical="center" wrapText="1"/>
    </xf>
    <xf numFmtId="3" fontId="10" fillId="0" borderId="58" xfId="44" applyNumberFormat="1" applyFont="1" applyBorder="1" applyAlignment="1">
      <alignment horizontal="center" vertical="center" wrapText="1"/>
    </xf>
    <xf numFmtId="0" fontId="52" fillId="32" borderId="15" xfId="41" applyFont="1" applyFill="1" applyBorder="1" applyAlignment="1"/>
    <xf numFmtId="0" fontId="52" fillId="32" borderId="13" xfId="41" applyFont="1" applyFill="1" applyBorder="1" applyAlignment="1"/>
    <xf numFmtId="0" fontId="52" fillId="0" borderId="15" xfId="41" applyFont="1" applyBorder="1" applyAlignment="1"/>
    <xf numFmtId="0" fontId="52" fillId="0" borderId="13" xfId="41" applyFont="1" applyBorder="1" applyAlignment="1"/>
    <xf numFmtId="0" fontId="52" fillId="32" borderId="16" xfId="41" applyFont="1" applyFill="1" applyBorder="1" applyAlignment="1"/>
    <xf numFmtId="0" fontId="52" fillId="32" borderId="17" xfId="41" applyFont="1" applyFill="1" applyBorder="1" applyAlignment="1"/>
    <xf numFmtId="3" fontId="10" fillId="0" borderId="61" xfId="43" applyNumberFormat="1" applyFont="1" applyBorder="1" applyAlignment="1">
      <alignment horizontal="center" vertical="center" wrapText="1"/>
    </xf>
    <xf numFmtId="3" fontId="10" fillId="0" borderId="57" xfId="43" applyNumberFormat="1" applyFont="1" applyBorder="1" applyAlignment="1">
      <alignment horizontal="center" vertical="center" wrapText="1"/>
    </xf>
    <xf numFmtId="3" fontId="10" fillId="0" borderId="58" xfId="43" applyNumberFormat="1" applyFont="1" applyBorder="1" applyAlignment="1">
      <alignment horizontal="center" vertical="center" wrapText="1"/>
    </xf>
    <xf numFmtId="3" fontId="6" fillId="0" borderId="61" xfId="43" applyNumberFormat="1" applyFont="1" applyBorder="1" applyAlignment="1">
      <alignment horizontal="left" vertical="center" wrapText="1" indent="1"/>
    </xf>
    <xf numFmtId="3" fontId="6" fillId="0" borderId="57" xfId="43" applyNumberFormat="1" applyFont="1" applyBorder="1" applyAlignment="1">
      <alignment horizontal="left" vertical="center" wrapText="1" indent="1"/>
    </xf>
    <xf numFmtId="3" fontId="6" fillId="0" borderId="58" xfId="43" applyNumberFormat="1" applyFont="1" applyBorder="1" applyAlignment="1">
      <alignment horizontal="left" vertical="center" wrapText="1" indent="1"/>
    </xf>
    <xf numFmtId="0" fontId="6" fillId="0" borderId="6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52" fillId="32" borderId="30" xfId="41" applyFont="1" applyFill="1" applyBorder="1" applyAlignment="1">
      <alignment horizontal="left" vertical="center" indent="1"/>
    </xf>
    <xf numFmtId="0" fontId="52" fillId="32" borderId="31" xfId="41" applyFont="1" applyFill="1" applyBorder="1" applyAlignment="1">
      <alignment horizontal="left" vertical="center" indent="1"/>
    </xf>
    <xf numFmtId="0" fontId="7" fillId="0" borderId="49" xfId="0" applyFont="1" applyBorder="1" applyAlignment="1">
      <alignment horizontal="left"/>
    </xf>
    <xf numFmtId="0" fontId="4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Čiarka" xfId="27" builtinId="3"/>
    <cellStyle name="čiarky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a" xfId="0" builtinId="0"/>
    <cellStyle name="Normálna 2" xfId="39"/>
    <cellStyle name="Normálna 3" xfId="89"/>
    <cellStyle name="normálne 2" xfId="40"/>
    <cellStyle name="normálne 3" xfId="41"/>
    <cellStyle name="normálne 4" xfId="42"/>
    <cellStyle name="normálne_Databazy_VVŠ_2007_ severská" xfId="43"/>
    <cellStyle name="normálne_sprava_VVŠ_2004_tabuľky_vláda" xfId="44"/>
    <cellStyle name="normální_List1" xfId="45"/>
    <cellStyle name="Note" xfId="46"/>
    <cellStyle name="Output" xfId="47"/>
    <cellStyle name="SAPBEXaggData" xfId="48"/>
    <cellStyle name="SAPBEXaggDataEmph" xfId="49"/>
    <cellStyle name="SAPBEXaggItem" xfId="50"/>
    <cellStyle name="SAPBEXaggItemX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Title" xfId="86"/>
    <cellStyle name="Total" xfId="87"/>
    <cellStyle name="Warning Text" xfId="88"/>
  </cellStyles>
  <dxfs count="0"/>
  <tableStyles count="0" defaultTableStyle="TableStyleMedium9" defaultPivotStyle="PivotStyleLight16"/>
  <colors>
    <mruColors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.horvathova\AppData\Local\Microsoft\Windows\INetCache\Content.Outlook\7PYSD27A\Tab_AnkA_2018_2404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%206_Talar_oprava%200306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Kódy z CRŠ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6a-Zamestnanci_a_mzdy (ženy)"/>
      <sheetName val="T7_Doktorandi "/>
      <sheetName val="T8-Soc_štipendiá"/>
      <sheetName val="T10-ŠJ "/>
      <sheetName val="T9_ŠD "/>
      <sheetName val="T11-Zdroje KV"/>
      <sheetName val="T12-KV"/>
      <sheetName val="T13-Fondy"/>
      <sheetName val="T16 - Štruktúra hotovosti"/>
      <sheetName val="T17-Dotácie zo ŠF EU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__Aktí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C19">
            <v>64729.47</v>
          </cell>
          <cell r="D19">
            <v>48953.37</v>
          </cell>
        </row>
      </sheetData>
      <sheetData sheetId="9">
        <row r="96">
          <cell r="C96">
            <v>64729.47</v>
          </cell>
          <cell r="E96">
            <v>48953.37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>
            <v>48274.22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Kódy z CRŠ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6a-Zamestnanci_a_mzdy (ženy)"/>
      <sheetName val="T7_Doktorandi "/>
      <sheetName val="T8-Soc_štipendiá"/>
      <sheetName val="T9_ŠD "/>
      <sheetName val="T10-ŠJ "/>
      <sheetName val="T11-Zdroje KV"/>
      <sheetName val="T12-KV"/>
      <sheetName val="T13-Fondy"/>
      <sheetName val="T16 - Štruktúra hotovosti"/>
      <sheetName val="T17-Dotácie zo ŠF EU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__Aktí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F24">
            <v>0.5</v>
          </cell>
          <cell r="J24">
            <v>5722.1</v>
          </cell>
        </row>
      </sheetData>
      <sheetData sheetId="11">
        <row r="24">
          <cell r="F24">
            <v>0.5</v>
          </cell>
          <cell r="J24">
            <v>5722.1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indexed="42"/>
    <pageSetUpPr fitToPage="1"/>
  </sheetPr>
  <dimension ref="A1:E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6" sqref="F16"/>
    </sheetView>
  </sheetViews>
  <sheetFormatPr defaultRowHeight="15.75" x14ac:dyDescent="0.2"/>
  <cols>
    <col min="1" max="1" width="9.140625" style="24" customWidth="1"/>
    <col min="2" max="2" width="77.85546875" style="49" customWidth="1"/>
    <col min="3" max="5" width="17.42578125" style="19" customWidth="1"/>
    <col min="6" max="6" width="12.42578125" style="19" customWidth="1"/>
    <col min="7" max="16384" width="9.140625" style="19"/>
  </cols>
  <sheetData>
    <row r="1" spans="1:5" s="18" customFormat="1" ht="87" customHeight="1" thickBot="1" x14ac:dyDescent="0.25">
      <c r="A1" s="626" t="s">
        <v>749</v>
      </c>
      <c r="B1" s="627"/>
      <c r="C1" s="627"/>
      <c r="D1" s="627"/>
      <c r="E1" s="628"/>
    </row>
    <row r="2" spans="1:5" s="18" customFormat="1" ht="35.1" customHeight="1" x14ac:dyDescent="0.2">
      <c r="A2" s="629" t="s">
        <v>872</v>
      </c>
      <c r="B2" s="630"/>
      <c r="C2" s="630"/>
      <c r="D2" s="630"/>
      <c r="E2" s="631"/>
    </row>
    <row r="3" spans="1:5" ht="43.5" customHeight="1" x14ac:dyDescent="0.2">
      <c r="A3" s="377" t="s">
        <v>133</v>
      </c>
      <c r="B3" s="379" t="s">
        <v>132</v>
      </c>
      <c r="C3" s="378" t="s">
        <v>195</v>
      </c>
      <c r="D3" s="378" t="s">
        <v>196</v>
      </c>
      <c r="E3" s="35" t="s">
        <v>137</v>
      </c>
    </row>
    <row r="4" spans="1:5" ht="17.25" customHeight="1" x14ac:dyDescent="0.2">
      <c r="A4" s="31"/>
      <c r="B4" s="337"/>
      <c r="C4" s="37" t="s">
        <v>180</v>
      </c>
      <c r="D4" s="37" t="s">
        <v>181</v>
      </c>
      <c r="E4" s="38" t="s">
        <v>13</v>
      </c>
    </row>
    <row r="5" spans="1:5" x14ac:dyDescent="0.2">
      <c r="A5" s="31">
        <v>1</v>
      </c>
      <c r="B5" s="337" t="s">
        <v>242</v>
      </c>
      <c r="C5" s="50">
        <f>C6</f>
        <v>19510002</v>
      </c>
      <c r="D5" s="50">
        <f>D6</f>
        <v>1294163</v>
      </c>
      <c r="E5" s="51">
        <f t="shared" ref="E5:E6" si="0">SUM(C5:D5)</f>
        <v>20804165</v>
      </c>
    </row>
    <row r="6" spans="1:5" x14ac:dyDescent="0.2">
      <c r="A6" s="31">
        <f>A5+1</f>
        <v>2</v>
      </c>
      <c r="B6" s="27" t="s">
        <v>164</v>
      </c>
      <c r="C6" s="52">
        <v>19510002</v>
      </c>
      <c r="D6" s="52">
        <f>400000+894163</f>
        <v>1294163</v>
      </c>
      <c r="E6" s="51">
        <f t="shared" si="0"/>
        <v>20804165</v>
      </c>
    </row>
    <row r="7" spans="1:5" ht="15.75" customHeight="1" x14ac:dyDescent="0.2">
      <c r="A7" s="31">
        <f>A6+1</f>
        <v>3</v>
      </c>
      <c r="B7" s="337" t="s">
        <v>243</v>
      </c>
      <c r="C7" s="50">
        <f>SUM(C8:C12)</f>
        <v>13795919.699999999</v>
      </c>
      <c r="D7" s="50">
        <f>SUM(D8:D12)</f>
        <v>0</v>
      </c>
      <c r="E7" s="51">
        <f>SUM(C7:D7)</f>
        <v>13795919.699999999</v>
      </c>
    </row>
    <row r="8" spans="1:5" x14ac:dyDescent="0.2">
      <c r="A8" s="31">
        <f t="shared" ref="A8:A19" si="1">A7+1</f>
        <v>4</v>
      </c>
      <c r="B8" s="27" t="s">
        <v>165</v>
      </c>
      <c r="C8" s="52">
        <v>12641984.699999999</v>
      </c>
      <c r="D8" s="325" t="s">
        <v>202</v>
      </c>
      <c r="E8" s="51">
        <f t="shared" ref="E8:E19" si="2">SUM(C8:D8)</f>
        <v>12641984.699999999</v>
      </c>
    </row>
    <row r="9" spans="1:5" x14ac:dyDescent="0.2">
      <c r="A9" s="31">
        <f t="shared" si="1"/>
        <v>5</v>
      </c>
      <c r="B9" s="27" t="s">
        <v>166</v>
      </c>
      <c r="C9" s="52">
        <v>940280</v>
      </c>
      <c r="D9" s="325" t="s">
        <v>202</v>
      </c>
      <c r="E9" s="51">
        <f t="shared" si="2"/>
        <v>940280</v>
      </c>
    </row>
    <row r="10" spans="1:5" x14ac:dyDescent="0.2">
      <c r="A10" s="31">
        <f t="shared" si="1"/>
        <v>6</v>
      </c>
      <c r="B10" s="27" t="s">
        <v>167</v>
      </c>
      <c r="C10" s="325" t="s">
        <v>202</v>
      </c>
      <c r="D10" s="325" t="s">
        <v>202</v>
      </c>
      <c r="E10" s="51">
        <f t="shared" si="2"/>
        <v>0</v>
      </c>
    </row>
    <row r="11" spans="1:5" x14ac:dyDescent="0.2">
      <c r="A11" s="31">
        <f t="shared" si="1"/>
        <v>7</v>
      </c>
      <c r="B11" s="27" t="s">
        <v>168</v>
      </c>
      <c r="C11" s="325" t="s">
        <v>202</v>
      </c>
      <c r="D11" s="325" t="s">
        <v>202</v>
      </c>
      <c r="E11" s="51">
        <f t="shared" si="2"/>
        <v>0</v>
      </c>
    </row>
    <row r="12" spans="1:5" x14ac:dyDescent="0.2">
      <c r="A12" s="31">
        <f t="shared" si="1"/>
        <v>8</v>
      </c>
      <c r="B12" s="27" t="s">
        <v>92</v>
      </c>
      <c r="C12" s="52">
        <v>213655</v>
      </c>
      <c r="D12" s="325" t="s">
        <v>202</v>
      </c>
      <c r="E12" s="51">
        <f t="shared" si="2"/>
        <v>213655</v>
      </c>
    </row>
    <row r="13" spans="1:5" ht="15.75" customHeight="1" x14ac:dyDescent="0.2">
      <c r="A13" s="31">
        <f t="shared" si="1"/>
        <v>9</v>
      </c>
      <c r="B13" s="337" t="s">
        <v>244</v>
      </c>
      <c r="C13" s="50">
        <f>C14</f>
        <v>359138</v>
      </c>
      <c r="D13" s="50">
        <f>D14</f>
        <v>185700</v>
      </c>
      <c r="E13" s="51">
        <f t="shared" si="2"/>
        <v>544838</v>
      </c>
    </row>
    <row r="14" spans="1:5" x14ac:dyDescent="0.2">
      <c r="A14" s="31">
        <f t="shared" si="1"/>
        <v>10</v>
      </c>
      <c r="B14" s="27" t="s">
        <v>93</v>
      </c>
      <c r="C14" s="52">
        <v>359138</v>
      </c>
      <c r="D14" s="52">
        <v>185700</v>
      </c>
      <c r="E14" s="51">
        <f t="shared" si="2"/>
        <v>544838</v>
      </c>
    </row>
    <row r="15" spans="1:5" x14ac:dyDescent="0.2">
      <c r="A15" s="31">
        <f t="shared" si="1"/>
        <v>11</v>
      </c>
      <c r="B15" s="337" t="s">
        <v>245</v>
      </c>
      <c r="C15" s="50">
        <f>SUM(C16:C18)</f>
        <v>2329130</v>
      </c>
      <c r="D15" s="50">
        <f>SUM(D16:D18)</f>
        <v>0</v>
      </c>
      <c r="E15" s="51">
        <f t="shared" si="2"/>
        <v>2329130</v>
      </c>
    </row>
    <row r="16" spans="1:5" x14ac:dyDescent="0.2">
      <c r="A16" s="31">
        <f t="shared" si="1"/>
        <v>12</v>
      </c>
      <c r="B16" s="27" t="s">
        <v>94</v>
      </c>
      <c r="C16" s="52">
        <v>706889</v>
      </c>
      <c r="D16" s="325" t="s">
        <v>202</v>
      </c>
      <c r="E16" s="51">
        <f t="shared" si="2"/>
        <v>706889</v>
      </c>
    </row>
    <row r="17" spans="1:5" x14ac:dyDescent="0.2">
      <c r="A17" s="31">
        <f t="shared" si="1"/>
        <v>13</v>
      </c>
      <c r="B17" s="27" t="s">
        <v>95</v>
      </c>
      <c r="C17" s="52">
        <v>415525</v>
      </c>
      <c r="D17" s="325" t="s">
        <v>202</v>
      </c>
      <c r="E17" s="51">
        <f t="shared" si="2"/>
        <v>415525</v>
      </c>
    </row>
    <row r="18" spans="1:5" x14ac:dyDescent="0.2">
      <c r="A18" s="31">
        <f t="shared" si="1"/>
        <v>14</v>
      </c>
      <c r="B18" s="27" t="s">
        <v>96</v>
      </c>
      <c r="C18" s="52">
        <v>1206716</v>
      </c>
      <c r="D18" s="325" t="s">
        <v>202</v>
      </c>
      <c r="E18" s="51">
        <f t="shared" si="2"/>
        <v>1206716</v>
      </c>
    </row>
    <row r="19" spans="1:5" ht="16.5" thickBot="1" x14ac:dyDescent="0.25">
      <c r="A19" s="32">
        <f t="shared" si="1"/>
        <v>15</v>
      </c>
      <c r="B19" s="47" t="s">
        <v>246</v>
      </c>
      <c r="C19" s="481">
        <f>C5+C7+C13+C15</f>
        <v>35994189.700000003</v>
      </c>
      <c r="D19" s="481">
        <f>D5+D7+D13+D15</f>
        <v>1479863</v>
      </c>
      <c r="E19" s="53">
        <f t="shared" si="2"/>
        <v>37474052.700000003</v>
      </c>
    </row>
    <row r="20" spans="1:5" x14ac:dyDescent="0.2">
      <c r="A20" s="20"/>
      <c r="B20" s="48"/>
      <c r="C20" s="22"/>
      <c r="D20" s="22"/>
    </row>
    <row r="21" spans="1:5" x14ac:dyDescent="0.2">
      <c r="A21" s="23"/>
      <c r="B21" s="121"/>
    </row>
    <row r="23" spans="1:5" x14ac:dyDescent="0.2">
      <c r="B23" s="49" t="s">
        <v>97</v>
      </c>
    </row>
  </sheetData>
  <sheetProtection selectLockedCells="1"/>
  <protectedRanges>
    <protectedRange sqref="C16 C14:D14 C6:D6 C18 C8:D12 D16:D18" name="Rozsah2"/>
    <protectedRange sqref="C19:D19" name="Rozsah1"/>
  </protectedRanges>
  <mergeCells count="2">
    <mergeCell ref="A1:E1"/>
    <mergeCell ref="A2:E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indexed="42"/>
    <pageSetUpPr fitToPage="1"/>
  </sheetPr>
  <dimension ref="A1:H24"/>
  <sheetViews>
    <sheetView zoomScaleNormal="100" workbookViewId="0">
      <pane xSplit="2" ySplit="5" topLeftCell="C7" activePane="bottomRight" state="frozen"/>
      <selection pane="topRight" activeCell="C1" sqref="C1"/>
      <selection pane="bottomLeft" activeCell="A6" sqref="A6"/>
      <selection pane="bottomRight" activeCell="M22" sqref="M22"/>
    </sheetView>
  </sheetViews>
  <sheetFormatPr defaultRowHeight="12.75" x14ac:dyDescent="0.2"/>
  <cols>
    <col min="1" max="1" width="8.28515625" style="91" customWidth="1"/>
    <col min="2" max="2" width="77.7109375" style="91" customWidth="1"/>
    <col min="3" max="6" width="14.7109375" style="91" customWidth="1"/>
    <col min="7" max="16384" width="9.140625" style="91"/>
  </cols>
  <sheetData>
    <row r="1" spans="1:8" ht="50.1" customHeight="1" x14ac:dyDescent="0.2">
      <c r="A1" s="732" t="s">
        <v>760</v>
      </c>
      <c r="B1" s="733"/>
      <c r="C1" s="733"/>
      <c r="D1" s="733"/>
      <c r="E1" s="733"/>
      <c r="F1" s="734"/>
      <c r="H1" s="114"/>
    </row>
    <row r="2" spans="1:8" ht="33" customHeight="1" x14ac:dyDescent="0.2">
      <c r="A2" s="737" t="s">
        <v>878</v>
      </c>
      <c r="B2" s="738"/>
      <c r="C2" s="738"/>
      <c r="D2" s="738"/>
      <c r="E2" s="738"/>
      <c r="F2" s="739"/>
    </row>
    <row r="3" spans="1:8" ht="18.75" customHeight="1" x14ac:dyDescent="0.2">
      <c r="A3" s="724" t="s">
        <v>133</v>
      </c>
      <c r="B3" s="687" t="s">
        <v>215</v>
      </c>
      <c r="C3" s="683" t="s">
        <v>601</v>
      </c>
      <c r="D3" s="683"/>
      <c r="E3" s="683" t="s">
        <v>233</v>
      </c>
      <c r="F3" s="736"/>
    </row>
    <row r="4" spans="1:8" ht="18.75" customHeight="1" x14ac:dyDescent="0.2">
      <c r="A4" s="735"/>
      <c r="B4" s="687"/>
      <c r="C4" s="98">
        <v>2017</v>
      </c>
      <c r="D4" s="98">
        <v>2018</v>
      </c>
      <c r="E4" s="14">
        <v>2017</v>
      </c>
      <c r="F4" s="29">
        <v>2018</v>
      </c>
    </row>
    <row r="5" spans="1:8" ht="15.75" x14ac:dyDescent="0.2">
      <c r="A5" s="31"/>
      <c r="B5" s="88"/>
      <c r="C5" s="25" t="s">
        <v>180</v>
      </c>
      <c r="D5" s="25" t="s">
        <v>181</v>
      </c>
      <c r="E5" s="36" t="s">
        <v>182</v>
      </c>
      <c r="F5" s="90" t="s">
        <v>188</v>
      </c>
    </row>
    <row r="6" spans="1:8" ht="31.5" x14ac:dyDescent="0.2">
      <c r="A6" s="31">
        <v>1</v>
      </c>
      <c r="B6" s="45" t="s">
        <v>559</v>
      </c>
      <c r="C6" s="82" t="s">
        <v>202</v>
      </c>
      <c r="D6" s="82" t="s">
        <v>202</v>
      </c>
      <c r="E6" s="138">
        <v>1951</v>
      </c>
      <c r="F6" s="146">
        <v>1916</v>
      </c>
      <c r="G6" s="582"/>
    </row>
    <row r="7" spans="1:8" ht="37.5" x14ac:dyDescent="0.2">
      <c r="A7" s="31">
        <f>A6+1</f>
        <v>2</v>
      </c>
      <c r="B7" s="64" t="s">
        <v>226</v>
      </c>
      <c r="C7" s="82" t="s">
        <v>202</v>
      </c>
      <c r="D7" s="82" t="s">
        <v>202</v>
      </c>
      <c r="E7" s="138">
        <v>18400</v>
      </c>
      <c r="F7" s="146">
        <v>18590</v>
      </c>
    </row>
    <row r="8" spans="1:8" ht="15.75" x14ac:dyDescent="0.2">
      <c r="A8" s="31">
        <v>3</v>
      </c>
      <c r="B8" s="80" t="s">
        <v>169</v>
      </c>
      <c r="C8" s="82" t="s">
        <v>202</v>
      </c>
      <c r="D8" s="82" t="s">
        <v>202</v>
      </c>
      <c r="E8" s="61">
        <f>E7/12</f>
        <v>1533.3333333333333</v>
      </c>
      <c r="F8" s="136">
        <f>F7/12</f>
        <v>1549.1666666666667</v>
      </c>
    </row>
    <row r="9" spans="1:8" ht="31.5" x14ac:dyDescent="0.2">
      <c r="A9" s="31">
        <f t="shared" ref="A9:A18" si="0">A8+1</f>
        <v>4</v>
      </c>
      <c r="B9" s="64" t="s">
        <v>236</v>
      </c>
      <c r="C9" s="52">
        <v>836967.93</v>
      </c>
      <c r="D9" s="84">
        <v>753579.86</v>
      </c>
      <c r="E9" s="82" t="s">
        <v>202</v>
      </c>
      <c r="F9" s="85" t="s">
        <v>202</v>
      </c>
    </row>
    <row r="10" spans="1:8" ht="31.5" x14ac:dyDescent="0.2">
      <c r="A10" s="31">
        <f t="shared" si="0"/>
        <v>5</v>
      </c>
      <c r="B10" s="64" t="s">
        <v>248</v>
      </c>
      <c r="C10" s="52">
        <v>26588</v>
      </c>
      <c r="D10" s="615">
        <v>46763</v>
      </c>
      <c r="E10" s="52">
        <v>385</v>
      </c>
      <c r="F10" s="58">
        <v>700</v>
      </c>
    </row>
    <row r="11" spans="1:8" ht="31.5" x14ac:dyDescent="0.2">
      <c r="A11" s="31">
        <f t="shared" si="0"/>
        <v>6</v>
      </c>
      <c r="B11" s="323" t="s">
        <v>701</v>
      </c>
      <c r="C11" s="138">
        <v>777976</v>
      </c>
      <c r="D11" s="616">
        <v>833913.7</v>
      </c>
      <c r="E11" s="82" t="s">
        <v>202</v>
      </c>
      <c r="F11" s="85" t="s">
        <v>202</v>
      </c>
      <c r="G11" s="582"/>
    </row>
    <row r="12" spans="1:8" ht="15.75" x14ac:dyDescent="0.2">
      <c r="A12" s="31">
        <f t="shared" si="0"/>
        <v>7</v>
      </c>
      <c r="B12" s="64" t="s">
        <v>234</v>
      </c>
      <c r="C12" s="52">
        <v>43298.57</v>
      </c>
      <c r="D12" s="52">
        <v>13119.4</v>
      </c>
      <c r="E12" s="82" t="s">
        <v>202</v>
      </c>
      <c r="F12" s="85" t="s">
        <v>202</v>
      </c>
      <c r="G12" s="582"/>
    </row>
    <row r="13" spans="1:8" ht="15.75" x14ac:dyDescent="0.2">
      <c r="A13" s="31">
        <f t="shared" si="0"/>
        <v>8</v>
      </c>
      <c r="B13" s="64" t="s">
        <v>249</v>
      </c>
      <c r="C13" s="61">
        <f>SUM(C9:C12)</f>
        <v>1684830.5000000002</v>
      </c>
      <c r="D13" s="61">
        <f>SUM(D9:D12)</f>
        <v>1647375.96</v>
      </c>
      <c r="E13" s="82" t="s">
        <v>202</v>
      </c>
      <c r="F13" s="85" t="s">
        <v>202</v>
      </c>
    </row>
    <row r="14" spans="1:8" ht="15.75" x14ac:dyDescent="0.2">
      <c r="A14" s="31">
        <f t="shared" si="0"/>
        <v>9</v>
      </c>
      <c r="B14" s="64" t="s">
        <v>250</v>
      </c>
      <c r="C14" s="61">
        <f>C15+C16</f>
        <v>1343136.25</v>
      </c>
      <c r="D14" s="61">
        <f>D15+D16</f>
        <v>1380422.05</v>
      </c>
      <c r="E14" s="82" t="s">
        <v>202</v>
      </c>
      <c r="F14" s="85" t="s">
        <v>202</v>
      </c>
    </row>
    <row r="15" spans="1:8" ht="15.75" x14ac:dyDescent="0.2">
      <c r="A15" s="31">
        <f t="shared" si="0"/>
        <v>10</v>
      </c>
      <c r="B15" s="46" t="s">
        <v>24</v>
      </c>
      <c r="C15" s="52">
        <v>636213.81000000006</v>
      </c>
      <c r="D15" s="52">
        <v>700977.38</v>
      </c>
      <c r="E15" s="82" t="s">
        <v>202</v>
      </c>
      <c r="F15" s="85" t="s">
        <v>202</v>
      </c>
    </row>
    <row r="16" spans="1:8" ht="15.75" x14ac:dyDescent="0.2">
      <c r="A16" s="31">
        <f t="shared" si="0"/>
        <v>11</v>
      </c>
      <c r="B16" s="46" t="s">
        <v>25</v>
      </c>
      <c r="C16" s="52">
        <v>706922.44</v>
      </c>
      <c r="D16" s="52">
        <v>679444.67</v>
      </c>
      <c r="E16" s="82" t="s">
        <v>202</v>
      </c>
      <c r="F16" s="85" t="s">
        <v>202</v>
      </c>
    </row>
    <row r="17" spans="1:6" ht="31.5" x14ac:dyDescent="0.2">
      <c r="A17" s="31">
        <f t="shared" si="0"/>
        <v>12</v>
      </c>
      <c r="B17" s="64" t="s">
        <v>251</v>
      </c>
      <c r="C17" s="61">
        <f>+C13-C14</f>
        <v>341694.25000000023</v>
      </c>
      <c r="D17" s="61">
        <f>+D13-D14</f>
        <v>266953.90999999992</v>
      </c>
      <c r="E17" s="82" t="s">
        <v>202</v>
      </c>
      <c r="F17" s="85" t="s">
        <v>202</v>
      </c>
    </row>
    <row r="18" spans="1:6" ht="16.5" thickBot="1" x14ac:dyDescent="0.25">
      <c r="A18" s="32">
        <f t="shared" si="0"/>
        <v>13</v>
      </c>
      <c r="B18" s="96" t="s">
        <v>252</v>
      </c>
      <c r="C18" s="62">
        <f>IF(E8=0,0,C14/E8)</f>
        <v>875.95842391304348</v>
      </c>
      <c r="D18" s="62">
        <f>IF(F8=0,0,D14/F8)</f>
        <v>891.07394298009683</v>
      </c>
      <c r="E18" s="86" t="s">
        <v>202</v>
      </c>
      <c r="F18" s="87" t="s">
        <v>202</v>
      </c>
    </row>
    <row r="20" spans="1:6" ht="15" x14ac:dyDescent="0.2">
      <c r="A20" s="709" t="s">
        <v>235</v>
      </c>
      <c r="B20" s="710"/>
      <c r="C20" s="710"/>
      <c r="D20" s="710"/>
      <c r="E20" s="710"/>
      <c r="F20" s="711"/>
    </row>
    <row r="21" spans="1:6" ht="35.25" customHeight="1" x14ac:dyDescent="0.2">
      <c r="A21" s="729" t="s">
        <v>39</v>
      </c>
      <c r="B21" s="730"/>
      <c r="C21" s="730"/>
      <c r="D21" s="730"/>
      <c r="E21" s="730"/>
      <c r="F21" s="731"/>
    </row>
    <row r="23" spans="1:6" x14ac:dyDescent="0.2">
      <c r="A23" s="582"/>
    </row>
    <row r="24" spans="1:6" x14ac:dyDescent="0.2">
      <c r="A24" s="582"/>
    </row>
  </sheetData>
  <mergeCells count="8">
    <mergeCell ref="A21:F21"/>
    <mergeCell ref="A1:F1"/>
    <mergeCell ref="A3:A4"/>
    <mergeCell ref="B3:B4"/>
    <mergeCell ref="C3:D3"/>
    <mergeCell ref="E3:F3"/>
    <mergeCell ref="A2:F2"/>
    <mergeCell ref="A20:F20"/>
  </mergeCells>
  <phoneticPr fontId="5" type="noConversion"/>
  <pageMargins left="0.66" right="0.45" top="0.98425196850393704" bottom="0.77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RowHeight="15.75" x14ac:dyDescent="0.25"/>
  <cols>
    <col min="1" max="1" width="8.140625" style="238" customWidth="1"/>
    <col min="2" max="2" width="94" style="262" customWidth="1"/>
    <col min="3" max="3" width="18.7109375" style="238" customWidth="1"/>
    <col min="4" max="4" width="18.5703125" style="238" customWidth="1"/>
    <col min="5" max="5" width="11.42578125" style="239" customWidth="1"/>
    <col min="6" max="16384" width="9.140625" style="238"/>
  </cols>
  <sheetData>
    <row r="1" spans="1:11" ht="50.1" customHeight="1" thickBot="1" x14ac:dyDescent="0.3">
      <c r="A1" s="745" t="s">
        <v>761</v>
      </c>
      <c r="B1" s="746"/>
      <c r="C1" s="746"/>
      <c r="D1" s="747"/>
      <c r="E1" s="237"/>
    </row>
    <row r="2" spans="1:11" ht="29.25" customHeight="1" x14ac:dyDescent="0.25">
      <c r="A2" s="748" t="s">
        <v>879</v>
      </c>
      <c r="B2" s="749"/>
      <c r="C2" s="749"/>
      <c r="D2" s="750"/>
    </row>
    <row r="3" spans="1:11" ht="33" customHeight="1" x14ac:dyDescent="0.25">
      <c r="A3" s="240" t="s">
        <v>133</v>
      </c>
      <c r="B3" s="241" t="s">
        <v>215</v>
      </c>
      <c r="C3" s="242">
        <v>2017</v>
      </c>
      <c r="D3" s="243">
        <v>2018</v>
      </c>
    </row>
    <row r="4" spans="1:11" x14ac:dyDescent="0.25">
      <c r="A4" s="244"/>
      <c r="B4" s="245"/>
      <c r="C4" s="246" t="s">
        <v>180</v>
      </c>
      <c r="D4" s="272" t="s">
        <v>181</v>
      </c>
    </row>
    <row r="5" spans="1:11" ht="18.75" x14ac:dyDescent="0.25">
      <c r="A5" s="247">
        <v>1</v>
      </c>
      <c r="B5" s="248" t="s">
        <v>174</v>
      </c>
      <c r="C5" s="482">
        <f>+C6+C9</f>
        <v>436850.8</v>
      </c>
      <c r="D5" s="483">
        <f>D6+D9</f>
        <v>458007.56</v>
      </c>
    </row>
    <row r="6" spans="1:11" ht="18.75" customHeight="1" x14ac:dyDescent="0.25">
      <c r="A6" s="247">
        <f t="shared" ref="A6:A13" si="0">A5+1</f>
        <v>2</v>
      </c>
      <c r="B6" s="248" t="s">
        <v>240</v>
      </c>
      <c r="C6" s="482">
        <f>+C7+C8</f>
        <v>259240.8</v>
      </c>
      <c r="D6" s="483">
        <f>+D7+D8</f>
        <v>275845.56</v>
      </c>
    </row>
    <row r="7" spans="1:11" x14ac:dyDescent="0.25">
      <c r="A7" s="247">
        <f t="shared" si="0"/>
        <v>3</v>
      </c>
      <c r="B7" s="251" t="s">
        <v>238</v>
      </c>
      <c r="C7" s="484">
        <v>255396.56</v>
      </c>
      <c r="D7" s="485">
        <v>271546.06</v>
      </c>
    </row>
    <row r="8" spans="1:11" x14ac:dyDescent="0.25">
      <c r="A8" s="247">
        <f t="shared" si="0"/>
        <v>4</v>
      </c>
      <c r="B8" s="251" t="s">
        <v>239</v>
      </c>
      <c r="C8" s="484">
        <v>3844.24</v>
      </c>
      <c r="D8" s="485">
        <v>4299.5</v>
      </c>
    </row>
    <row r="9" spans="1:11" x14ac:dyDescent="0.25">
      <c r="A9" s="247">
        <f t="shared" si="0"/>
        <v>5</v>
      </c>
      <c r="B9" s="248" t="s">
        <v>157</v>
      </c>
      <c r="C9" s="486">
        <f>+C10+C11-C12</f>
        <v>177610</v>
      </c>
      <c r="D9" s="487">
        <f>+D10+D11-D12</f>
        <v>182162</v>
      </c>
    </row>
    <row r="10" spans="1:11" ht="19.5" customHeight="1" x14ac:dyDescent="0.25">
      <c r="A10" s="247">
        <f t="shared" si="0"/>
        <v>6</v>
      </c>
      <c r="B10" s="251" t="s">
        <v>122</v>
      </c>
      <c r="C10" s="484">
        <f>73292.21-34612</f>
        <v>38680.210000000006</v>
      </c>
      <c r="D10" s="487">
        <f>+C12</f>
        <v>61146.210000000021</v>
      </c>
    </row>
    <row r="11" spans="1:11" x14ac:dyDescent="0.25">
      <c r="A11" s="247">
        <f t="shared" si="0"/>
        <v>7</v>
      </c>
      <c r="B11" s="251" t="s">
        <v>136</v>
      </c>
      <c r="C11" s="484">
        <v>200076</v>
      </c>
      <c r="D11" s="485">
        <v>180863</v>
      </c>
    </row>
    <row r="12" spans="1:11" x14ac:dyDescent="0.25">
      <c r="A12" s="247">
        <f t="shared" si="0"/>
        <v>8</v>
      </c>
      <c r="B12" s="251" t="s">
        <v>583</v>
      </c>
      <c r="C12" s="486">
        <f>C10+C11-C20</f>
        <v>61146.210000000021</v>
      </c>
      <c r="D12" s="487">
        <f>D10+D11-D20</f>
        <v>59847.210000000021</v>
      </c>
    </row>
    <row r="13" spans="1:11" ht="30" customHeight="1" x14ac:dyDescent="0.25">
      <c r="A13" s="247">
        <f t="shared" si="0"/>
        <v>9</v>
      </c>
      <c r="B13" s="248" t="s">
        <v>584</v>
      </c>
      <c r="C13" s="488">
        <v>457733.6</v>
      </c>
      <c r="D13" s="489">
        <v>435824.27</v>
      </c>
    </row>
    <row r="14" spans="1:11" x14ac:dyDescent="0.25">
      <c r="A14" s="247"/>
      <c r="B14" s="273" t="s">
        <v>194</v>
      </c>
      <c r="C14" s="490"/>
      <c r="D14" s="491"/>
      <c r="E14" s="252"/>
      <c r="F14" s="253"/>
      <c r="G14" s="253"/>
      <c r="H14" s="253"/>
      <c r="I14" s="253"/>
      <c r="J14" s="253"/>
      <c r="K14" s="253"/>
    </row>
    <row r="15" spans="1:11" ht="18.75" x14ac:dyDescent="0.25">
      <c r="A15" s="247">
        <f>A13+1</f>
        <v>10</v>
      </c>
      <c r="B15" s="274" t="s">
        <v>241</v>
      </c>
      <c r="C15" s="484">
        <v>457733.6</v>
      </c>
      <c r="D15" s="485">
        <v>435824.27</v>
      </c>
    </row>
    <row r="16" spans="1:11" ht="30.75" customHeight="1" x14ac:dyDescent="0.25">
      <c r="A16" s="247">
        <f t="shared" ref="A16:A21" si="1">+A15+1</f>
        <v>11</v>
      </c>
      <c r="B16" s="248" t="s">
        <v>585</v>
      </c>
      <c r="C16" s="482">
        <f>C5-C13</f>
        <v>-20882.799999999988</v>
      </c>
      <c r="D16" s="483">
        <f>D5-D13</f>
        <v>22183.289999999979</v>
      </c>
    </row>
    <row r="17" spans="1:5" ht="18.75" x14ac:dyDescent="0.25">
      <c r="A17" s="247">
        <f t="shared" si="1"/>
        <v>12</v>
      </c>
      <c r="B17" s="248" t="s">
        <v>586</v>
      </c>
      <c r="C17" s="482">
        <f>C18+C19</f>
        <v>177610</v>
      </c>
      <c r="D17" s="483">
        <f>D18+D19</f>
        <v>182162</v>
      </c>
    </row>
    <row r="18" spans="1:5" x14ac:dyDescent="0.25">
      <c r="A18" s="283">
        <f t="shared" si="1"/>
        <v>13</v>
      </c>
      <c r="B18" s="254" t="s">
        <v>650</v>
      </c>
      <c r="C18" s="488">
        <v>177610</v>
      </c>
      <c r="D18" s="492">
        <v>182162</v>
      </c>
    </row>
    <row r="19" spans="1:5" ht="18.75" x14ac:dyDescent="0.25">
      <c r="A19" s="283">
        <f>+A18+1</f>
        <v>14</v>
      </c>
      <c r="B19" s="254" t="s">
        <v>587</v>
      </c>
      <c r="C19" s="488"/>
      <c r="D19" s="492"/>
    </row>
    <row r="20" spans="1:5" x14ac:dyDescent="0.25">
      <c r="A20" s="283">
        <f>+A19+1</f>
        <v>15</v>
      </c>
      <c r="B20" s="248" t="s">
        <v>588</v>
      </c>
      <c r="C20" s="482">
        <f>(C18*1+C19*1)</f>
        <v>177610</v>
      </c>
      <c r="D20" s="483">
        <f>(D18*1+D19*1)</f>
        <v>182162</v>
      </c>
    </row>
    <row r="21" spans="1:5" ht="16.5" thickBot="1" x14ac:dyDescent="0.3">
      <c r="A21" s="284">
        <f t="shared" si="1"/>
        <v>16</v>
      </c>
      <c r="B21" s="255" t="s">
        <v>600</v>
      </c>
      <c r="C21" s="477">
        <f>IF(C18=0,0,C15/C18)</f>
        <v>2.5771837171330443</v>
      </c>
      <c r="D21" s="478">
        <f>IF(D18=0,0,D15/D18)</f>
        <v>2.3925092500082346</v>
      </c>
    </row>
    <row r="22" spans="1:5" s="253" customFormat="1" x14ac:dyDescent="0.25">
      <c r="A22" s="256"/>
      <c r="B22" s="257"/>
      <c r="C22" s="258"/>
      <c r="D22" s="258"/>
      <c r="E22" s="252"/>
    </row>
    <row r="23" spans="1:5" s="260" customFormat="1" x14ac:dyDescent="0.25">
      <c r="A23" s="751" t="s">
        <v>237</v>
      </c>
      <c r="B23" s="752"/>
      <c r="C23" s="752"/>
      <c r="D23" s="753"/>
      <c r="E23" s="259"/>
    </row>
    <row r="24" spans="1:5" s="260" customFormat="1" x14ac:dyDescent="0.25">
      <c r="A24" s="754" t="s">
        <v>554</v>
      </c>
      <c r="B24" s="755"/>
      <c r="C24" s="755"/>
      <c r="D24" s="756"/>
      <c r="E24" s="259"/>
    </row>
    <row r="25" spans="1:5" s="260" customFormat="1" x14ac:dyDescent="0.25">
      <c r="A25" s="757" t="s">
        <v>649</v>
      </c>
      <c r="B25" s="758"/>
      <c r="C25" s="758"/>
      <c r="D25" s="759"/>
      <c r="E25" s="259"/>
    </row>
    <row r="26" spans="1:5" s="260" customFormat="1" x14ac:dyDescent="0.25">
      <c r="A26" s="742" t="s">
        <v>556</v>
      </c>
      <c r="B26" s="743"/>
      <c r="C26" s="743"/>
      <c r="D26" s="744"/>
      <c r="E26" s="259"/>
    </row>
    <row r="27" spans="1:5" s="260" customFormat="1" x14ac:dyDescent="0.25">
      <c r="B27" s="261"/>
      <c r="E27" s="259"/>
    </row>
    <row r="28" spans="1:5" s="260" customFormat="1" x14ac:dyDescent="0.25">
      <c r="B28" s="261"/>
      <c r="E28" s="259"/>
    </row>
    <row r="29" spans="1:5" s="260" customFormat="1" x14ac:dyDescent="0.25">
      <c r="B29" s="261"/>
      <c r="E29" s="259"/>
    </row>
    <row r="30" spans="1:5" ht="60.75" customHeight="1" x14ac:dyDescent="0.25">
      <c r="A30" s="740"/>
      <c r="B30" s="741"/>
      <c r="C30" s="741"/>
      <c r="D30" s="741"/>
    </row>
  </sheetData>
  <mergeCells count="7">
    <mergeCell ref="A30:D30"/>
    <mergeCell ref="A26:D26"/>
    <mergeCell ref="A1:D1"/>
    <mergeCell ref="A2:D2"/>
    <mergeCell ref="A23:D23"/>
    <mergeCell ref="A24:D24"/>
    <mergeCell ref="A25:D25"/>
  </mergeCells>
  <pageMargins left="0.74803149606299213" right="0.74803149606299213" top="0.59055118110236227" bottom="0.59055118110236227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indexed="42"/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8" sqref="E18"/>
    </sheetView>
  </sheetViews>
  <sheetFormatPr defaultRowHeight="15.75" x14ac:dyDescent="0.25"/>
  <cols>
    <col min="1" max="1" width="9.140625" style="2"/>
    <col min="2" max="2" width="88.7109375" style="8" customWidth="1"/>
    <col min="3" max="3" width="23.42578125" style="2" customWidth="1"/>
    <col min="4" max="4" width="24.42578125" style="2" customWidth="1"/>
    <col min="5" max="5" width="15.28515625" style="210" bestFit="1" customWidth="1"/>
    <col min="6" max="6" width="9.140625" style="210"/>
    <col min="7" max="16384" width="9.140625" style="2"/>
  </cols>
  <sheetData>
    <row r="1" spans="1:6" ht="50.1" customHeight="1" thickBot="1" x14ac:dyDescent="0.3">
      <c r="A1" s="760" t="s">
        <v>807</v>
      </c>
      <c r="B1" s="761"/>
      <c r="C1" s="761"/>
      <c r="D1" s="762"/>
    </row>
    <row r="2" spans="1:6" ht="27.75" customHeight="1" x14ac:dyDescent="0.25">
      <c r="A2" s="647" t="s">
        <v>879</v>
      </c>
      <c r="B2" s="648"/>
      <c r="C2" s="648"/>
      <c r="D2" s="649"/>
    </row>
    <row r="3" spans="1:6" ht="18.75" customHeight="1" x14ac:dyDescent="0.25">
      <c r="A3" s="650" t="s">
        <v>133</v>
      </c>
      <c r="B3" s="763" t="s">
        <v>215</v>
      </c>
      <c r="C3" s="764" t="s">
        <v>198</v>
      </c>
      <c r="D3" s="765"/>
    </row>
    <row r="4" spans="1:6" s="5" customFormat="1" ht="19.5" customHeight="1" x14ac:dyDescent="0.2">
      <c r="A4" s="650"/>
      <c r="B4" s="763"/>
      <c r="C4" s="16">
        <v>2017</v>
      </c>
      <c r="D4" s="15">
        <v>2018</v>
      </c>
      <c r="E4" s="211"/>
      <c r="F4" s="211"/>
    </row>
    <row r="5" spans="1:6" s="5" customFormat="1" x14ac:dyDescent="0.2">
      <c r="A5" s="31"/>
      <c r="B5" s="28"/>
      <c r="C5" s="16" t="s">
        <v>180</v>
      </c>
      <c r="D5" s="15" t="s">
        <v>181</v>
      </c>
      <c r="E5" s="211"/>
      <c r="F5" s="211"/>
    </row>
    <row r="6" spans="1:6" s="5" customFormat="1" x14ac:dyDescent="0.2">
      <c r="A6" s="106">
        <v>1</v>
      </c>
      <c r="B6" s="59" t="s">
        <v>135</v>
      </c>
      <c r="C6" s="493">
        <v>0</v>
      </c>
      <c r="D6" s="494">
        <v>0</v>
      </c>
      <c r="E6" s="606"/>
      <c r="F6" s="211"/>
    </row>
    <row r="7" spans="1:6" s="5" customFormat="1" x14ac:dyDescent="0.2">
      <c r="A7" s="106">
        <f t="shared" ref="A7:A20" si="0">A6+1</f>
        <v>2</v>
      </c>
      <c r="B7" s="45" t="s">
        <v>101</v>
      </c>
      <c r="C7" s="495">
        <f>SUM(C8:C13)</f>
        <v>1248313.0900000001</v>
      </c>
      <c r="D7" s="496">
        <f>SUM(D8:D13)</f>
        <v>1896622.17</v>
      </c>
      <c r="E7" s="211"/>
      <c r="F7" s="211"/>
    </row>
    <row r="8" spans="1:6" s="5" customFormat="1" ht="18.75" x14ac:dyDescent="0.2">
      <c r="A8" s="106">
        <f t="shared" si="0"/>
        <v>3</v>
      </c>
      <c r="B8" s="60" t="s">
        <v>258</v>
      </c>
      <c r="C8" s="497"/>
      <c r="D8" s="498"/>
      <c r="E8" s="211"/>
      <c r="F8" s="211"/>
    </row>
    <row r="9" spans="1:6" s="5" customFormat="1" x14ac:dyDescent="0.2">
      <c r="A9" s="106">
        <f t="shared" si="0"/>
        <v>4</v>
      </c>
      <c r="B9" s="60" t="s">
        <v>261</v>
      </c>
      <c r="C9" s="497">
        <v>1248313.0900000001</v>
      </c>
      <c r="D9" s="498">
        <v>1519581.69</v>
      </c>
      <c r="E9" s="211"/>
      <c r="F9" s="211"/>
    </row>
    <row r="10" spans="1:6" s="5" customFormat="1" x14ac:dyDescent="0.2">
      <c r="A10" s="106">
        <f t="shared" si="0"/>
        <v>5</v>
      </c>
      <c r="B10" s="60" t="s">
        <v>679</v>
      </c>
      <c r="C10" s="497"/>
      <c r="D10" s="498">
        <v>377040.48</v>
      </c>
      <c r="E10" s="211"/>
      <c r="F10" s="211"/>
    </row>
    <row r="11" spans="1:6" s="5" customFormat="1" x14ac:dyDescent="0.2">
      <c r="A11" s="106">
        <f t="shared" si="0"/>
        <v>6</v>
      </c>
      <c r="B11" s="60" t="s">
        <v>259</v>
      </c>
      <c r="C11" s="497"/>
      <c r="D11" s="498"/>
      <c r="E11" s="211"/>
      <c r="F11" s="211"/>
    </row>
    <row r="12" spans="1:6" s="5" customFormat="1" x14ac:dyDescent="0.2">
      <c r="A12" s="106">
        <f t="shared" si="0"/>
        <v>7</v>
      </c>
      <c r="B12" s="60" t="s">
        <v>260</v>
      </c>
      <c r="C12" s="497"/>
      <c r="D12" s="498"/>
      <c r="E12" s="211"/>
      <c r="F12" s="211"/>
    </row>
    <row r="13" spans="1:6" s="5" customFormat="1" ht="19.5" customHeight="1" x14ac:dyDescent="0.2">
      <c r="A13" s="106">
        <f t="shared" si="0"/>
        <v>8</v>
      </c>
      <c r="B13" s="60" t="s">
        <v>262</v>
      </c>
      <c r="C13" s="497"/>
      <c r="D13" s="498"/>
      <c r="E13" s="211"/>
      <c r="F13" s="211"/>
    </row>
    <row r="14" spans="1:6" s="5" customFormat="1" ht="21.75" customHeight="1" x14ac:dyDescent="0.2">
      <c r="A14" s="106">
        <f t="shared" si="0"/>
        <v>9</v>
      </c>
      <c r="B14" s="45" t="s">
        <v>22</v>
      </c>
      <c r="C14" s="495">
        <f>C6+C7</f>
        <v>1248313.0900000001</v>
      </c>
      <c r="D14" s="496">
        <f>D6+D7</f>
        <v>1896622.17</v>
      </c>
      <c r="E14" s="211"/>
      <c r="F14" s="211"/>
    </row>
    <row r="15" spans="1:6" s="5" customFormat="1" ht="40.5" customHeight="1" x14ac:dyDescent="0.2">
      <c r="A15" s="106">
        <f t="shared" si="0"/>
        <v>10</v>
      </c>
      <c r="B15" s="45" t="s">
        <v>161</v>
      </c>
      <c r="C15" s="493">
        <v>319272</v>
      </c>
      <c r="D15" s="494">
        <f>585700+894163</f>
        <v>1479863</v>
      </c>
      <c r="E15" s="211"/>
      <c r="F15" s="211"/>
    </row>
    <row r="16" spans="1:6" s="5" customFormat="1" ht="31.5" x14ac:dyDescent="0.2">
      <c r="A16" s="124" t="s">
        <v>565</v>
      </c>
      <c r="B16" s="64" t="s">
        <v>606</v>
      </c>
      <c r="C16" s="493">
        <v>7401030.2400000002</v>
      </c>
      <c r="D16" s="494">
        <f>829337.62+97569.12</f>
        <v>926906.74</v>
      </c>
      <c r="E16" s="480"/>
      <c r="F16" s="211"/>
    </row>
    <row r="17" spans="1:9" s="5" customFormat="1" ht="28.5" customHeight="1" x14ac:dyDescent="0.2">
      <c r="A17" s="106">
        <f>A15+1</f>
        <v>11</v>
      </c>
      <c r="B17" s="45" t="s">
        <v>607</v>
      </c>
      <c r="C17" s="493">
        <v>301051.71999999997</v>
      </c>
      <c r="D17" s="494">
        <f>160878+627.02</f>
        <v>161505.01999999999</v>
      </c>
      <c r="E17" s="211"/>
      <c r="F17" s="211"/>
    </row>
    <row r="18" spans="1:9" s="5" customFormat="1" ht="23.25" customHeight="1" x14ac:dyDescent="0.2">
      <c r="A18" s="106">
        <f t="shared" si="0"/>
        <v>12</v>
      </c>
      <c r="B18" s="45" t="s">
        <v>160</v>
      </c>
      <c r="C18" s="493"/>
      <c r="D18" s="494"/>
      <c r="E18" s="211"/>
      <c r="F18" s="211"/>
    </row>
    <row r="19" spans="1:9" s="5" customFormat="1" ht="33" customHeight="1" x14ac:dyDescent="0.2">
      <c r="A19" s="106">
        <f t="shared" si="0"/>
        <v>13</v>
      </c>
      <c r="B19" s="45" t="s">
        <v>608</v>
      </c>
      <c r="C19" s="493">
        <v>2274161.7400000002</v>
      </c>
      <c r="D19" s="494">
        <v>4272555.3899999997</v>
      </c>
      <c r="E19" s="211"/>
      <c r="F19" s="211"/>
    </row>
    <row r="20" spans="1:9" s="5" customFormat="1" ht="21" customHeight="1" thickBot="1" x14ac:dyDescent="0.25">
      <c r="A20" s="107">
        <f t="shared" si="0"/>
        <v>14</v>
      </c>
      <c r="B20" s="47" t="s">
        <v>41</v>
      </c>
      <c r="C20" s="499">
        <f>SUM(C14:C19)</f>
        <v>11543828.790000001</v>
      </c>
      <c r="D20" s="500">
        <f>SUM(D14:D19)</f>
        <v>8737452.3200000003</v>
      </c>
      <c r="E20" s="211"/>
      <c r="F20" s="211"/>
    </row>
    <row r="21" spans="1:9" ht="9" customHeight="1" x14ac:dyDescent="0.25"/>
    <row r="22" spans="1:9" ht="18" customHeight="1" x14ac:dyDescent="0.25">
      <c r="A22" s="709" t="s">
        <v>45</v>
      </c>
      <c r="B22" s="710"/>
      <c r="C22" s="710"/>
      <c r="D22" s="711"/>
    </row>
    <row r="23" spans="1:9" x14ac:dyDescent="0.25">
      <c r="A23" s="729" t="s">
        <v>7</v>
      </c>
      <c r="B23" s="730"/>
      <c r="C23" s="730"/>
      <c r="D23" s="731"/>
      <c r="E23" s="211"/>
      <c r="F23" s="211"/>
      <c r="G23" s="132"/>
      <c r="H23" s="132"/>
      <c r="I23" s="132"/>
    </row>
  </sheetData>
  <mergeCells count="7">
    <mergeCell ref="A23:D23"/>
    <mergeCell ref="A22:D22"/>
    <mergeCell ref="A1:D1"/>
    <mergeCell ref="A3:A4"/>
    <mergeCell ref="B3:B4"/>
    <mergeCell ref="C3:D3"/>
    <mergeCell ref="A2:D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indexed="42"/>
    <pageSetUpPr fitToPage="1"/>
  </sheetPr>
  <dimension ref="A1:K83"/>
  <sheetViews>
    <sheetView zoomScaleNormal="10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RowHeight="15.75" x14ac:dyDescent="0.25"/>
  <cols>
    <col min="1" max="1" width="7.42578125" style="2" customWidth="1"/>
    <col min="2" max="2" width="51.5703125" style="8" customWidth="1"/>
    <col min="3" max="3" width="17" style="8" customWidth="1"/>
    <col min="4" max="4" width="18.140625" style="2" customWidth="1"/>
    <col min="5" max="5" width="18.5703125" style="2" customWidth="1"/>
    <col min="6" max="6" width="16.28515625" style="2" customWidth="1"/>
    <col min="7" max="7" width="15.28515625" style="2" customWidth="1"/>
    <col min="8" max="8" width="15.7109375" style="2" customWidth="1"/>
    <col min="9" max="9" width="20.140625" style="2" customWidth="1"/>
    <col min="10" max="10" width="9.85546875" style="2" customWidth="1"/>
    <col min="11" max="16384" width="9.140625" style="2"/>
  </cols>
  <sheetData>
    <row r="1" spans="1:10" ht="35.1" customHeight="1" thickBot="1" x14ac:dyDescent="0.3">
      <c r="A1" s="768" t="s">
        <v>762</v>
      </c>
      <c r="B1" s="769"/>
      <c r="C1" s="769"/>
      <c r="D1" s="769"/>
      <c r="E1" s="769"/>
      <c r="F1" s="769"/>
      <c r="G1" s="769"/>
      <c r="H1" s="769"/>
      <c r="I1" s="770"/>
    </row>
    <row r="2" spans="1:10" ht="35.1" customHeight="1" x14ac:dyDescent="0.25">
      <c r="A2" s="629" t="s">
        <v>879</v>
      </c>
      <c r="B2" s="630"/>
      <c r="C2" s="630"/>
      <c r="D2" s="630"/>
      <c r="E2" s="630"/>
      <c r="F2" s="630"/>
      <c r="G2" s="630"/>
      <c r="H2" s="630"/>
      <c r="I2" s="631"/>
    </row>
    <row r="3" spans="1:10" s="5" customFormat="1" ht="35.25" customHeight="1" x14ac:dyDescent="0.2">
      <c r="A3" s="725" t="s">
        <v>133</v>
      </c>
      <c r="B3" s="652" t="s">
        <v>215</v>
      </c>
      <c r="C3" s="694" t="s">
        <v>763</v>
      </c>
      <c r="D3" s="694" t="s">
        <v>764</v>
      </c>
      <c r="E3" s="652" t="s">
        <v>765</v>
      </c>
      <c r="F3" s="652" t="s">
        <v>111</v>
      </c>
      <c r="G3" s="771" t="s">
        <v>139</v>
      </c>
      <c r="H3" s="771" t="s">
        <v>575</v>
      </c>
      <c r="I3" s="766" t="s">
        <v>140</v>
      </c>
    </row>
    <row r="4" spans="1:10" s="5" customFormat="1" ht="72" customHeight="1" x14ac:dyDescent="0.2">
      <c r="A4" s="650"/>
      <c r="B4" s="687"/>
      <c r="C4" s="695"/>
      <c r="D4" s="695"/>
      <c r="E4" s="687"/>
      <c r="F4" s="687"/>
      <c r="G4" s="772"/>
      <c r="H4" s="772"/>
      <c r="I4" s="767"/>
    </row>
    <row r="5" spans="1:10" s="5" customFormat="1" x14ac:dyDescent="0.2">
      <c r="A5" s="31"/>
      <c r="B5" s="92"/>
      <c r="C5" s="95" t="s">
        <v>180</v>
      </c>
      <c r="D5" s="95" t="s">
        <v>181</v>
      </c>
      <c r="E5" s="36" t="s">
        <v>182</v>
      </c>
      <c r="F5" s="36" t="s">
        <v>188</v>
      </c>
      <c r="G5" s="36" t="s">
        <v>183</v>
      </c>
      <c r="H5" s="36" t="s">
        <v>184</v>
      </c>
      <c r="I5" s="218" t="s">
        <v>566</v>
      </c>
    </row>
    <row r="6" spans="1:10" s="5" customFormat="1" x14ac:dyDescent="0.2">
      <c r="A6" s="31">
        <v>1</v>
      </c>
      <c r="B6" s="68" t="s">
        <v>254</v>
      </c>
      <c r="C6" s="52"/>
      <c r="D6" s="52">
        <v>118023.39</v>
      </c>
      <c r="E6" s="52"/>
      <c r="F6" s="52">
        <v>10184.969999999999</v>
      </c>
      <c r="G6" s="52"/>
      <c r="H6" s="52"/>
      <c r="I6" s="136">
        <f t="shared" ref="I6:I17" si="0">SUM(C6:H6)</f>
        <v>128208.36</v>
      </c>
    </row>
    <row r="7" spans="1:10" s="5" customFormat="1" x14ac:dyDescent="0.2">
      <c r="A7" s="31"/>
      <c r="B7" s="69" t="s">
        <v>194</v>
      </c>
      <c r="C7" s="52"/>
      <c r="D7" s="52"/>
      <c r="E7" s="52"/>
      <c r="F7" s="52"/>
      <c r="G7" s="52"/>
      <c r="H7" s="52"/>
      <c r="I7" s="136"/>
    </row>
    <row r="8" spans="1:10" s="5" customFormat="1" x14ac:dyDescent="0.2">
      <c r="A8" s="31">
        <v>2</v>
      </c>
      <c r="B8" s="112" t="s">
        <v>23</v>
      </c>
      <c r="C8" s="52"/>
      <c r="D8" s="52">
        <v>118023.39</v>
      </c>
      <c r="E8" s="52"/>
      <c r="F8" s="52">
        <v>10184.969999999999</v>
      </c>
      <c r="G8" s="52"/>
      <c r="H8" s="52"/>
      <c r="I8" s="136">
        <f t="shared" si="0"/>
        <v>128208.36</v>
      </c>
    </row>
    <row r="9" spans="1:10" x14ac:dyDescent="0.25">
      <c r="A9" s="31">
        <v>3</v>
      </c>
      <c r="B9" s="68" t="s">
        <v>179</v>
      </c>
      <c r="C9" s="52"/>
      <c r="D9" s="52"/>
      <c r="E9" s="52"/>
      <c r="F9" s="52"/>
      <c r="G9" s="52"/>
      <c r="H9" s="52"/>
      <c r="I9" s="136">
        <f t="shared" si="0"/>
        <v>0</v>
      </c>
    </row>
    <row r="10" spans="1:10" ht="31.5" x14ac:dyDescent="0.25">
      <c r="A10" s="31">
        <v>4</v>
      </c>
      <c r="B10" s="68" t="s">
        <v>154</v>
      </c>
      <c r="C10" s="61">
        <f>SUM(C11:C16)</f>
        <v>8400</v>
      </c>
      <c r="D10" s="61">
        <f t="shared" ref="D10:I10" si="1">SUM(D11:D16)</f>
        <v>348861.26</v>
      </c>
      <c r="E10" s="61">
        <f t="shared" si="1"/>
        <v>272152.67</v>
      </c>
      <c r="F10" s="61">
        <f t="shared" si="1"/>
        <v>644815.91</v>
      </c>
      <c r="G10" s="61">
        <f t="shared" si="1"/>
        <v>0</v>
      </c>
      <c r="H10" s="61">
        <f t="shared" si="1"/>
        <v>14334.789999999999</v>
      </c>
      <c r="I10" s="61">
        <f t="shared" si="1"/>
        <v>1288564.6299999999</v>
      </c>
      <c r="J10" s="469"/>
    </row>
    <row r="11" spans="1:10" x14ac:dyDescent="0.25">
      <c r="A11" s="31">
        <v>5</v>
      </c>
      <c r="B11" s="112" t="s">
        <v>229</v>
      </c>
      <c r="C11" s="52"/>
      <c r="D11" s="52"/>
      <c r="E11" s="52">
        <v>105586.15</v>
      </c>
      <c r="F11" s="52">
        <v>107315.55</v>
      </c>
      <c r="G11" s="52"/>
      <c r="H11" s="52"/>
      <c r="I11" s="136">
        <f t="shared" si="0"/>
        <v>212901.7</v>
      </c>
    </row>
    <row r="12" spans="1:10" ht="31.5" x14ac:dyDescent="0.25">
      <c r="A12" s="31">
        <v>6</v>
      </c>
      <c r="B12" s="112" t="s">
        <v>683</v>
      </c>
      <c r="C12" s="52"/>
      <c r="D12" s="52"/>
      <c r="E12" s="52">
        <v>5000</v>
      </c>
      <c r="F12" s="52">
        <v>48944.99</v>
      </c>
      <c r="G12" s="52"/>
      <c r="H12" s="52"/>
      <c r="I12" s="136">
        <f t="shared" si="0"/>
        <v>53944.99</v>
      </c>
    </row>
    <row r="13" spans="1:10" x14ac:dyDescent="0.25">
      <c r="A13" s="31">
        <v>7</v>
      </c>
      <c r="B13" s="122" t="s">
        <v>230</v>
      </c>
      <c r="C13" s="52"/>
      <c r="D13" s="52">
        <v>281411.26</v>
      </c>
      <c r="E13" s="52">
        <v>18635.580000000002</v>
      </c>
      <c r="F13" s="52">
        <v>56193.69</v>
      </c>
      <c r="G13" s="52"/>
      <c r="H13" s="52">
        <v>9430.7999999999993</v>
      </c>
      <c r="I13" s="136">
        <f t="shared" si="0"/>
        <v>365671.33</v>
      </c>
    </row>
    <row r="14" spans="1:10" ht="31.5" x14ac:dyDescent="0.25">
      <c r="A14" s="31">
        <v>8</v>
      </c>
      <c r="B14" s="112" t="s">
        <v>231</v>
      </c>
      <c r="C14" s="52">
        <v>8400</v>
      </c>
      <c r="D14" s="52">
        <v>67450</v>
      </c>
      <c r="E14" s="52">
        <v>142930.94</v>
      </c>
      <c r="F14" s="52">
        <v>432361.68</v>
      </c>
      <c r="G14" s="52"/>
      <c r="H14" s="52">
        <v>4903.99</v>
      </c>
      <c r="I14" s="136">
        <f t="shared" si="0"/>
        <v>656046.61</v>
      </c>
    </row>
    <row r="15" spans="1:10" ht="31.5" x14ac:dyDescent="0.25">
      <c r="A15" s="42">
        <v>9</v>
      </c>
      <c r="B15" s="112" t="s">
        <v>232</v>
      </c>
      <c r="C15" s="52"/>
      <c r="D15" s="52"/>
      <c r="E15" s="52"/>
      <c r="F15" s="52"/>
      <c r="G15" s="52"/>
      <c r="H15" s="52"/>
      <c r="I15" s="136">
        <f t="shared" si="0"/>
        <v>0</v>
      </c>
    </row>
    <row r="16" spans="1:10" x14ac:dyDescent="0.25">
      <c r="A16" s="31">
        <v>10</v>
      </c>
      <c r="B16" s="438" t="s">
        <v>817</v>
      </c>
      <c r="C16" s="52"/>
      <c r="D16" s="52"/>
      <c r="E16" s="52"/>
      <c r="F16" s="52"/>
      <c r="G16" s="52"/>
      <c r="H16" s="52"/>
      <c r="I16" s="136"/>
      <c r="J16" s="469"/>
    </row>
    <row r="17" spans="1:11" x14ac:dyDescent="0.25">
      <c r="A17" s="31">
        <v>11</v>
      </c>
      <c r="B17" s="63" t="s">
        <v>114</v>
      </c>
      <c r="C17" s="52"/>
      <c r="D17" s="52"/>
      <c r="E17" s="52"/>
      <c r="F17" s="52"/>
      <c r="G17" s="52"/>
      <c r="H17" s="52"/>
      <c r="I17" s="136">
        <f t="shared" si="0"/>
        <v>0</v>
      </c>
    </row>
    <row r="18" spans="1:11" x14ac:dyDescent="0.25">
      <c r="A18" s="42">
        <v>12</v>
      </c>
      <c r="B18" s="68" t="s">
        <v>115</v>
      </c>
      <c r="C18" s="52"/>
      <c r="D18" s="52"/>
      <c r="E18" s="52"/>
      <c r="F18" s="52">
        <v>330361.01</v>
      </c>
      <c r="G18" s="52"/>
      <c r="H18" s="52"/>
      <c r="I18" s="136">
        <f t="shared" ref="I18:I23" si="2">SUM(C18:H18)</f>
        <v>330361.01</v>
      </c>
    </row>
    <row r="19" spans="1:11" x14ac:dyDescent="0.25">
      <c r="A19" s="31">
        <v>13</v>
      </c>
      <c r="B19" s="68" t="s">
        <v>191</v>
      </c>
      <c r="C19" s="52">
        <v>382168.82</v>
      </c>
      <c r="D19" s="52">
        <v>460022.09</v>
      </c>
      <c r="E19" s="52">
        <f>15209.36+1104584.2</f>
        <v>1119793.56</v>
      </c>
      <c r="F19" s="52">
        <v>1717783.18</v>
      </c>
      <c r="G19" s="52"/>
      <c r="H19" s="52"/>
      <c r="I19" s="136">
        <f t="shared" si="2"/>
        <v>3679767.6500000004</v>
      </c>
    </row>
    <row r="20" spans="1:11" x14ac:dyDescent="0.25">
      <c r="A20" s="31">
        <v>14</v>
      </c>
      <c r="B20" s="68" t="s">
        <v>116</v>
      </c>
      <c r="C20" s="52"/>
      <c r="D20" s="52"/>
      <c r="E20" s="52">
        <f>65200.56+48800</f>
        <v>114000.56</v>
      </c>
      <c r="F20" s="52">
        <v>1900</v>
      </c>
      <c r="G20" s="52"/>
      <c r="H20" s="52"/>
      <c r="I20" s="136">
        <f t="shared" si="2"/>
        <v>115900.56</v>
      </c>
    </row>
    <row r="21" spans="1:11" x14ac:dyDescent="0.25">
      <c r="A21" s="42">
        <v>15</v>
      </c>
      <c r="B21" s="68" t="s">
        <v>199</v>
      </c>
      <c r="C21" s="52"/>
      <c r="D21" s="52"/>
      <c r="E21" s="52"/>
      <c r="F21" s="52"/>
      <c r="G21" s="52"/>
      <c r="H21" s="52"/>
      <c r="I21" s="136">
        <f t="shared" si="2"/>
        <v>0</v>
      </c>
    </row>
    <row r="22" spans="1:11" x14ac:dyDescent="0.25">
      <c r="A22" s="31">
        <v>16</v>
      </c>
      <c r="B22" s="441" t="s">
        <v>748</v>
      </c>
      <c r="C22" s="442"/>
      <c r="D22" s="52"/>
      <c r="E22" s="52">
        <v>5787.77</v>
      </c>
      <c r="F22" s="52"/>
      <c r="G22" s="52"/>
      <c r="H22" s="52"/>
      <c r="I22" s="136">
        <f t="shared" si="2"/>
        <v>5787.77</v>
      </c>
    </row>
    <row r="23" spans="1:11" ht="48" thickBot="1" x14ac:dyDescent="0.3">
      <c r="A23" s="31">
        <v>17</v>
      </c>
      <c r="B23" s="443" t="s">
        <v>816</v>
      </c>
      <c r="C23" s="617">
        <f>+C6+C9+C10+C17+C18+C19+C20+C21+C22</f>
        <v>390568.82</v>
      </c>
      <c r="D23" s="618">
        <f t="shared" ref="D23:H23" si="3">+D6+D9+D10+D17+D18+D19+D20+D21+D22</f>
        <v>926906.74</v>
      </c>
      <c r="E23" s="363">
        <f t="shared" si="3"/>
        <v>1511734.56</v>
      </c>
      <c r="F23" s="618">
        <f t="shared" si="3"/>
        <v>2705045.07</v>
      </c>
      <c r="G23" s="363">
        <f t="shared" si="3"/>
        <v>0</v>
      </c>
      <c r="H23" s="363">
        <f t="shared" si="3"/>
        <v>14334.789999999999</v>
      </c>
      <c r="I23" s="364">
        <f t="shared" si="2"/>
        <v>5548589.9799999995</v>
      </c>
      <c r="J23" s="469"/>
    </row>
    <row r="24" spans="1:11" ht="16.5" thickBot="1" x14ac:dyDescent="0.3">
      <c r="C24" s="209"/>
      <c r="D24" s="208"/>
      <c r="E24" s="208"/>
      <c r="F24" s="208"/>
      <c r="G24" s="208"/>
      <c r="H24" s="595"/>
      <c r="I24" s="595"/>
      <c r="J24" s="230"/>
      <c r="K24" s="230"/>
    </row>
    <row r="25" spans="1:11" ht="16.5" thickBot="1" x14ac:dyDescent="0.3">
      <c r="B25" s="575"/>
      <c r="C25" s="208"/>
      <c r="D25" s="208"/>
      <c r="E25" s="208"/>
      <c r="F25" s="208"/>
      <c r="G25" s="208"/>
      <c r="H25" s="595"/>
      <c r="I25" s="607"/>
      <c r="J25" s="230"/>
      <c r="K25" s="230"/>
    </row>
    <row r="26" spans="1:11" x14ac:dyDescent="0.25">
      <c r="C26" s="208"/>
      <c r="D26" s="208"/>
      <c r="E26" s="208"/>
      <c r="F26" s="208"/>
      <c r="G26" s="208"/>
      <c r="H26" s="608"/>
      <c r="I26" s="230"/>
      <c r="J26" s="230"/>
      <c r="K26" s="230"/>
    </row>
    <row r="27" spans="1:11" x14ac:dyDescent="0.25">
      <c r="C27" s="208"/>
      <c r="D27" s="208"/>
      <c r="E27" s="208"/>
      <c r="F27" s="208"/>
      <c r="G27" s="208"/>
      <c r="H27" s="208"/>
    </row>
    <row r="28" spans="1:11" x14ac:dyDescent="0.25">
      <c r="C28" s="208"/>
      <c r="D28" s="208"/>
      <c r="E28" s="208"/>
      <c r="F28" s="208"/>
      <c r="G28" s="208"/>
      <c r="H28" s="208"/>
    </row>
    <row r="29" spans="1:11" x14ac:dyDescent="0.25">
      <c r="C29" s="208"/>
      <c r="D29" s="208"/>
      <c r="E29" s="208"/>
      <c r="F29" s="208"/>
      <c r="G29" s="208"/>
      <c r="H29" s="208"/>
    </row>
    <row r="30" spans="1:11" x14ac:dyDescent="0.25">
      <c r="C30" s="208"/>
      <c r="D30" s="208"/>
      <c r="E30" s="208"/>
      <c r="F30" s="208"/>
      <c r="G30" s="208"/>
      <c r="H30" s="208"/>
    </row>
    <row r="31" spans="1:11" x14ac:dyDescent="0.25">
      <c r="C31" s="208"/>
      <c r="D31" s="208"/>
      <c r="E31" s="208"/>
      <c r="F31" s="208"/>
      <c r="G31" s="208"/>
      <c r="H31" s="208"/>
    </row>
    <row r="32" spans="1:11" x14ac:dyDescent="0.25">
      <c r="C32" s="208"/>
      <c r="D32" s="208"/>
      <c r="E32" s="208"/>
      <c r="F32" s="208"/>
      <c r="G32" s="208"/>
      <c r="H32" s="208"/>
    </row>
    <row r="33" spans="3:8" x14ac:dyDescent="0.25">
      <c r="C33" s="208"/>
      <c r="D33" s="208"/>
      <c r="E33" s="208"/>
      <c r="F33" s="208"/>
      <c r="G33" s="208"/>
      <c r="H33" s="208"/>
    </row>
    <row r="34" spans="3:8" x14ac:dyDescent="0.25">
      <c r="C34" s="208"/>
      <c r="D34" s="208"/>
      <c r="E34" s="208"/>
      <c r="F34" s="208"/>
      <c r="G34" s="208"/>
      <c r="H34" s="208"/>
    </row>
    <row r="35" spans="3:8" x14ac:dyDescent="0.25">
      <c r="C35" s="208"/>
      <c r="D35" s="208"/>
      <c r="E35" s="208"/>
      <c r="F35" s="208"/>
      <c r="G35" s="208"/>
      <c r="H35" s="208"/>
    </row>
    <row r="36" spans="3:8" x14ac:dyDescent="0.25">
      <c r="C36" s="208"/>
      <c r="D36" s="208"/>
      <c r="E36" s="208"/>
      <c r="F36" s="208"/>
      <c r="G36" s="208"/>
      <c r="H36" s="208"/>
    </row>
    <row r="37" spans="3:8" x14ac:dyDescent="0.25">
      <c r="C37" s="208"/>
      <c r="D37" s="208"/>
      <c r="E37" s="208"/>
      <c r="F37" s="208"/>
      <c r="G37" s="208"/>
      <c r="H37" s="208"/>
    </row>
    <row r="38" spans="3:8" x14ac:dyDescent="0.25">
      <c r="C38" s="208"/>
      <c r="D38" s="208"/>
      <c r="E38" s="208"/>
      <c r="F38" s="208"/>
      <c r="G38" s="208"/>
      <c r="H38" s="208"/>
    </row>
    <row r="39" spans="3:8" x14ac:dyDescent="0.25">
      <c r="C39" s="208"/>
      <c r="D39" s="208"/>
      <c r="E39" s="208"/>
      <c r="F39" s="208"/>
      <c r="G39" s="208"/>
      <c r="H39" s="208"/>
    </row>
    <row r="40" spans="3:8" x14ac:dyDescent="0.25">
      <c r="C40" s="208"/>
      <c r="D40" s="208"/>
      <c r="E40" s="208"/>
      <c r="F40" s="208"/>
      <c r="G40" s="208"/>
      <c r="H40" s="208"/>
    </row>
    <row r="41" spans="3:8" x14ac:dyDescent="0.25">
      <c r="C41" s="208"/>
      <c r="D41" s="208"/>
      <c r="E41" s="208"/>
      <c r="F41" s="208"/>
      <c r="G41" s="208"/>
      <c r="H41" s="208"/>
    </row>
    <row r="42" spans="3:8" x14ac:dyDescent="0.25">
      <c r="C42" s="208"/>
      <c r="D42" s="208"/>
      <c r="E42" s="208"/>
      <c r="F42" s="208"/>
      <c r="G42" s="208"/>
      <c r="H42" s="208"/>
    </row>
    <row r="43" spans="3:8" x14ac:dyDescent="0.25">
      <c r="C43" s="208"/>
      <c r="D43" s="208"/>
      <c r="E43" s="208"/>
      <c r="F43" s="208"/>
      <c r="G43" s="208"/>
      <c r="H43" s="208"/>
    </row>
    <row r="44" spans="3:8" x14ac:dyDescent="0.25">
      <c r="C44" s="208"/>
      <c r="D44" s="208"/>
      <c r="E44" s="208"/>
      <c r="F44" s="208"/>
      <c r="G44" s="208"/>
      <c r="H44" s="208"/>
    </row>
    <row r="45" spans="3:8" x14ac:dyDescent="0.25">
      <c r="C45" s="208"/>
      <c r="D45" s="208"/>
      <c r="E45" s="208"/>
      <c r="F45" s="208"/>
      <c r="G45" s="208"/>
      <c r="H45" s="208"/>
    </row>
    <row r="46" spans="3:8" x14ac:dyDescent="0.25">
      <c r="C46" s="208"/>
      <c r="D46" s="208"/>
      <c r="E46" s="208"/>
      <c r="F46" s="208"/>
      <c r="G46" s="208"/>
      <c r="H46" s="208"/>
    </row>
    <row r="47" spans="3:8" x14ac:dyDescent="0.25">
      <c r="C47" s="208"/>
      <c r="D47" s="208"/>
      <c r="E47" s="208"/>
      <c r="F47" s="208"/>
      <c r="G47" s="208"/>
      <c r="H47" s="208"/>
    </row>
    <row r="48" spans="3:8" x14ac:dyDescent="0.25">
      <c r="C48" s="208"/>
      <c r="D48" s="208"/>
      <c r="E48" s="208"/>
      <c r="F48" s="208"/>
      <c r="G48" s="208"/>
      <c r="H48" s="208"/>
    </row>
    <row r="49" spans="3:8" x14ac:dyDescent="0.25">
      <c r="C49" s="208"/>
      <c r="D49" s="208"/>
      <c r="E49" s="208"/>
      <c r="F49" s="208"/>
      <c r="G49" s="208"/>
      <c r="H49" s="208"/>
    </row>
    <row r="50" spans="3:8" x14ac:dyDescent="0.25">
      <c r="C50" s="208"/>
      <c r="D50" s="208"/>
      <c r="E50" s="208"/>
      <c r="F50" s="208"/>
      <c r="G50" s="208"/>
      <c r="H50" s="208"/>
    </row>
    <row r="51" spans="3:8" x14ac:dyDescent="0.25">
      <c r="C51" s="208"/>
      <c r="D51" s="208"/>
      <c r="E51" s="208"/>
      <c r="F51" s="208"/>
      <c r="G51" s="208"/>
      <c r="H51" s="208"/>
    </row>
    <row r="52" spans="3:8" x14ac:dyDescent="0.25">
      <c r="C52" s="208"/>
      <c r="D52" s="208"/>
      <c r="E52" s="208"/>
      <c r="F52" s="208"/>
      <c r="G52" s="208"/>
      <c r="H52" s="208"/>
    </row>
    <row r="53" spans="3:8" x14ac:dyDescent="0.25">
      <c r="C53" s="208"/>
      <c r="D53" s="208"/>
      <c r="E53" s="208"/>
      <c r="F53" s="208"/>
      <c r="G53" s="208"/>
      <c r="H53" s="208"/>
    </row>
    <row r="54" spans="3:8" x14ac:dyDescent="0.25">
      <c r="C54" s="208"/>
      <c r="D54" s="208"/>
      <c r="E54" s="208"/>
      <c r="F54" s="208"/>
      <c r="G54" s="208"/>
      <c r="H54" s="208"/>
    </row>
    <row r="55" spans="3:8" x14ac:dyDescent="0.25">
      <c r="C55" s="208"/>
      <c r="D55" s="208"/>
      <c r="E55" s="208"/>
      <c r="F55" s="208"/>
      <c r="G55" s="208"/>
      <c r="H55" s="208"/>
    </row>
    <row r="56" spans="3:8" x14ac:dyDescent="0.25">
      <c r="C56" s="208"/>
      <c r="D56" s="208"/>
      <c r="E56" s="208"/>
      <c r="F56" s="208"/>
      <c r="G56" s="208"/>
      <c r="H56" s="208"/>
    </row>
    <row r="57" spans="3:8" x14ac:dyDescent="0.25">
      <c r="C57" s="208"/>
      <c r="D57" s="208"/>
      <c r="E57" s="208"/>
      <c r="F57" s="208"/>
      <c r="G57" s="208"/>
      <c r="H57" s="208"/>
    </row>
    <row r="58" spans="3:8" x14ac:dyDescent="0.25">
      <c r="C58" s="208"/>
      <c r="D58" s="208"/>
      <c r="E58" s="208"/>
      <c r="F58" s="208"/>
      <c r="G58" s="208"/>
      <c r="H58" s="208"/>
    </row>
    <row r="59" spans="3:8" x14ac:dyDescent="0.25">
      <c r="C59" s="208"/>
      <c r="D59" s="208"/>
      <c r="E59" s="208"/>
      <c r="F59" s="208"/>
      <c r="G59" s="208"/>
      <c r="H59" s="208"/>
    </row>
    <row r="60" spans="3:8" x14ac:dyDescent="0.25">
      <c r="C60" s="208"/>
      <c r="D60" s="208"/>
      <c r="E60" s="208"/>
      <c r="F60" s="208"/>
      <c r="G60" s="208"/>
      <c r="H60" s="208"/>
    </row>
    <row r="61" spans="3:8" x14ac:dyDescent="0.25">
      <c r="C61" s="208"/>
      <c r="D61" s="208"/>
      <c r="E61" s="208"/>
      <c r="F61" s="208"/>
      <c r="G61" s="208"/>
      <c r="H61" s="208"/>
    </row>
    <row r="62" spans="3:8" x14ac:dyDescent="0.25">
      <c r="C62" s="208"/>
      <c r="D62" s="208"/>
      <c r="E62" s="208"/>
      <c r="F62" s="208"/>
      <c r="G62" s="208"/>
      <c r="H62" s="208"/>
    </row>
    <row r="63" spans="3:8" x14ac:dyDescent="0.25">
      <c r="C63" s="208"/>
      <c r="D63" s="208"/>
      <c r="E63" s="208"/>
      <c r="F63" s="208"/>
      <c r="G63" s="208"/>
      <c r="H63" s="208"/>
    </row>
    <row r="64" spans="3:8" x14ac:dyDescent="0.25">
      <c r="C64" s="208"/>
      <c r="D64" s="208"/>
      <c r="E64" s="208"/>
      <c r="F64" s="208"/>
      <c r="G64" s="208"/>
      <c r="H64" s="208"/>
    </row>
    <row r="65" spans="3:8" x14ac:dyDescent="0.25">
      <c r="C65" s="208"/>
      <c r="D65" s="208"/>
      <c r="E65" s="208"/>
      <c r="F65" s="208"/>
      <c r="G65" s="208"/>
      <c r="H65" s="208"/>
    </row>
    <row r="66" spans="3:8" x14ac:dyDescent="0.25">
      <c r="C66" s="208"/>
      <c r="D66" s="208"/>
      <c r="E66" s="208"/>
      <c r="F66" s="208"/>
      <c r="G66" s="208"/>
      <c r="H66" s="208"/>
    </row>
    <row r="67" spans="3:8" x14ac:dyDescent="0.25">
      <c r="C67" s="208"/>
      <c r="D67" s="208"/>
      <c r="E67" s="208"/>
      <c r="F67" s="208"/>
      <c r="G67" s="208"/>
      <c r="H67" s="208"/>
    </row>
    <row r="68" spans="3:8" x14ac:dyDescent="0.25">
      <c r="C68" s="208"/>
      <c r="D68" s="208"/>
      <c r="E68" s="208"/>
      <c r="F68" s="208"/>
      <c r="G68" s="208"/>
      <c r="H68" s="208"/>
    </row>
    <row r="69" spans="3:8" x14ac:dyDescent="0.25">
      <c r="C69" s="208"/>
      <c r="D69" s="208"/>
      <c r="E69" s="208"/>
      <c r="F69" s="208"/>
      <c r="G69" s="208"/>
      <c r="H69" s="208"/>
    </row>
    <row r="70" spans="3:8" x14ac:dyDescent="0.25">
      <c r="C70" s="208"/>
      <c r="D70" s="208"/>
      <c r="E70" s="208"/>
      <c r="F70" s="208"/>
      <c r="G70" s="208"/>
      <c r="H70" s="208"/>
    </row>
    <row r="71" spans="3:8" x14ac:dyDescent="0.25">
      <c r="C71" s="208"/>
      <c r="D71" s="208"/>
      <c r="E71" s="208"/>
      <c r="F71" s="208"/>
      <c r="G71" s="208"/>
      <c r="H71" s="208"/>
    </row>
    <row r="72" spans="3:8" x14ac:dyDescent="0.25">
      <c r="C72" s="208"/>
      <c r="D72" s="208"/>
      <c r="E72" s="208"/>
      <c r="F72" s="208"/>
      <c r="G72" s="208"/>
      <c r="H72" s="208"/>
    </row>
    <row r="73" spans="3:8" x14ac:dyDescent="0.25">
      <c r="C73" s="208"/>
      <c r="D73" s="208"/>
      <c r="E73" s="208"/>
      <c r="F73" s="208"/>
      <c r="G73" s="208"/>
      <c r="H73" s="208"/>
    </row>
    <row r="74" spans="3:8" x14ac:dyDescent="0.25">
      <c r="C74" s="208"/>
      <c r="D74" s="208"/>
      <c r="E74" s="208"/>
      <c r="F74" s="208"/>
      <c r="G74" s="208"/>
      <c r="H74" s="208"/>
    </row>
    <row r="75" spans="3:8" x14ac:dyDescent="0.25">
      <c r="C75" s="208"/>
      <c r="D75" s="208"/>
      <c r="E75" s="208"/>
      <c r="F75" s="208"/>
      <c r="G75" s="208"/>
      <c r="H75" s="208"/>
    </row>
    <row r="76" spans="3:8" x14ac:dyDescent="0.25">
      <c r="C76" s="208"/>
      <c r="D76" s="208"/>
      <c r="E76" s="208"/>
      <c r="F76" s="208"/>
      <c r="G76" s="208"/>
      <c r="H76" s="208"/>
    </row>
    <row r="77" spans="3:8" x14ac:dyDescent="0.25">
      <c r="C77" s="208"/>
      <c r="D77" s="208"/>
      <c r="E77" s="208"/>
      <c r="F77" s="208"/>
      <c r="G77" s="208"/>
      <c r="H77" s="208"/>
    </row>
    <row r="78" spans="3:8" x14ac:dyDescent="0.25">
      <c r="C78" s="208"/>
      <c r="D78" s="208"/>
      <c r="E78" s="208"/>
      <c r="F78" s="208"/>
      <c r="G78" s="208"/>
      <c r="H78" s="208"/>
    </row>
    <row r="79" spans="3:8" x14ac:dyDescent="0.25">
      <c r="C79" s="208"/>
      <c r="D79" s="208"/>
      <c r="E79" s="208"/>
      <c r="F79" s="208"/>
      <c r="G79" s="208"/>
      <c r="H79" s="208"/>
    </row>
    <row r="80" spans="3:8" x14ac:dyDescent="0.25">
      <c r="C80" s="208"/>
      <c r="D80" s="208"/>
      <c r="E80" s="208"/>
      <c r="F80" s="208"/>
      <c r="G80" s="208"/>
      <c r="H80" s="208"/>
    </row>
    <row r="81" spans="3:8" x14ac:dyDescent="0.25">
      <c r="C81" s="208"/>
      <c r="D81" s="208"/>
      <c r="E81" s="208"/>
      <c r="F81" s="208"/>
      <c r="G81" s="208"/>
      <c r="H81" s="208"/>
    </row>
    <row r="82" spans="3:8" x14ac:dyDescent="0.25">
      <c r="C82" s="208"/>
      <c r="D82" s="208"/>
      <c r="E82" s="208"/>
      <c r="F82" s="208"/>
      <c r="G82" s="208"/>
      <c r="H82" s="208"/>
    </row>
    <row r="83" spans="3:8" x14ac:dyDescent="0.25">
      <c r="C83" s="208"/>
      <c r="D83" s="208"/>
      <c r="E83" s="208"/>
      <c r="F83" s="208"/>
      <c r="G83" s="208"/>
      <c r="H83" s="208"/>
    </row>
  </sheetData>
  <mergeCells count="11">
    <mergeCell ref="E3:E4"/>
    <mergeCell ref="I3:I4"/>
    <mergeCell ref="A1:I1"/>
    <mergeCell ref="A2:I2"/>
    <mergeCell ref="G3:G4"/>
    <mergeCell ref="C3:C4"/>
    <mergeCell ref="H3:H4"/>
    <mergeCell ref="A3:A4"/>
    <mergeCell ref="B3:B4"/>
    <mergeCell ref="D3:D4"/>
    <mergeCell ref="F3:F4"/>
  </mergeCells>
  <phoneticPr fontId="0" type="noConversion"/>
  <printOptions gridLines="1"/>
  <pageMargins left="0.48" right="0.44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V24"/>
  <sheetViews>
    <sheetView zoomScaleNormal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P11" sqref="P11"/>
    </sheetView>
  </sheetViews>
  <sheetFormatPr defaultRowHeight="15.75" x14ac:dyDescent="0.25"/>
  <cols>
    <col min="1" max="1" width="7.28515625" style="230" customWidth="1"/>
    <col min="2" max="2" width="38.85546875" style="235" customWidth="1"/>
    <col min="3" max="4" width="12.85546875" style="230" customWidth="1"/>
    <col min="5" max="5" width="12.140625" style="230" customWidth="1"/>
    <col min="6" max="6" width="14.5703125" style="230" customWidth="1"/>
    <col min="7" max="7" width="11.42578125" style="230" customWidth="1"/>
    <col min="8" max="8" width="11.5703125" style="230" bestFit="1" customWidth="1"/>
    <col min="9" max="9" width="13.42578125" style="230" customWidth="1"/>
    <col min="10" max="10" width="12.42578125" style="230" customWidth="1"/>
    <col min="11" max="11" width="14.5703125" style="230" customWidth="1"/>
    <col min="12" max="12" width="14.42578125" style="230" customWidth="1"/>
    <col min="13" max="13" width="14.85546875" style="230" customWidth="1"/>
    <col min="14" max="14" width="14.7109375" style="230" customWidth="1"/>
    <col min="15" max="15" width="14.140625" style="230" customWidth="1"/>
    <col min="16" max="16" width="14.28515625" style="230" customWidth="1"/>
    <col min="17" max="16384" width="9.140625" style="230"/>
  </cols>
  <sheetData>
    <row r="1" spans="1:256" ht="27.75" customHeight="1" thickBot="1" x14ac:dyDescent="0.3">
      <c r="A1" s="776" t="s">
        <v>766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8"/>
    </row>
    <row r="2" spans="1:256" ht="28.5" customHeight="1" x14ac:dyDescent="0.25">
      <c r="A2" s="779" t="s">
        <v>879</v>
      </c>
      <c r="B2" s="780"/>
      <c r="C2" s="780"/>
      <c r="D2" s="780"/>
      <c r="E2" s="780"/>
      <c r="F2" s="780"/>
      <c r="G2" s="780"/>
      <c r="H2" s="780"/>
      <c r="I2" s="781"/>
      <c r="J2" s="781"/>
      <c r="K2" s="780"/>
      <c r="L2" s="780"/>
      <c r="M2" s="780"/>
      <c r="N2" s="782"/>
    </row>
    <row r="3" spans="1:256" ht="51.75" customHeight="1" x14ac:dyDescent="0.25">
      <c r="A3" s="783" t="s">
        <v>133</v>
      </c>
      <c r="B3" s="784" t="s">
        <v>647</v>
      </c>
      <c r="C3" s="773" t="s">
        <v>218</v>
      </c>
      <c r="D3" s="773"/>
      <c r="E3" s="773" t="s">
        <v>219</v>
      </c>
      <c r="F3" s="773"/>
      <c r="G3" s="773" t="s">
        <v>220</v>
      </c>
      <c r="H3" s="764"/>
      <c r="I3" s="786" t="s">
        <v>594</v>
      </c>
      <c r="J3" s="786"/>
      <c r="K3" s="787" t="s">
        <v>200</v>
      </c>
      <c r="L3" s="773"/>
      <c r="M3" s="773" t="s">
        <v>214</v>
      </c>
      <c r="N3" s="774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  <c r="IV3" s="231"/>
    </row>
    <row r="4" spans="1:256" ht="17.25" customHeight="1" x14ac:dyDescent="0.25">
      <c r="A4" s="783"/>
      <c r="B4" s="785"/>
      <c r="C4" s="380">
        <v>2017</v>
      </c>
      <c r="D4" s="380">
        <v>2018</v>
      </c>
      <c r="E4" s="429">
        <v>2017</v>
      </c>
      <c r="F4" s="429">
        <v>2018</v>
      </c>
      <c r="G4" s="429">
        <v>2017</v>
      </c>
      <c r="H4" s="429">
        <v>2018</v>
      </c>
      <c r="I4" s="429">
        <v>2017</v>
      </c>
      <c r="J4" s="429">
        <v>2018</v>
      </c>
      <c r="K4" s="429">
        <v>2017</v>
      </c>
      <c r="L4" s="429">
        <v>2018</v>
      </c>
      <c r="M4" s="429">
        <v>2017</v>
      </c>
      <c r="N4" s="429">
        <v>2018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x14ac:dyDescent="0.25">
      <c r="A5" s="42"/>
      <c r="B5" s="232"/>
      <c r="C5" s="36" t="s">
        <v>180</v>
      </c>
      <c r="D5" s="36" t="s">
        <v>181</v>
      </c>
      <c r="E5" s="36" t="s">
        <v>182</v>
      </c>
      <c r="F5" s="36" t="s">
        <v>188</v>
      </c>
      <c r="G5" s="36" t="s">
        <v>183</v>
      </c>
      <c r="H5" s="263" t="s">
        <v>184</v>
      </c>
      <c r="I5" s="36" t="s">
        <v>185</v>
      </c>
      <c r="J5" s="36" t="s">
        <v>186</v>
      </c>
      <c r="K5" s="36" t="s">
        <v>187</v>
      </c>
      <c r="L5" s="36" t="s">
        <v>563</v>
      </c>
      <c r="M5" s="398" t="s">
        <v>699</v>
      </c>
      <c r="N5" s="399" t="s">
        <v>700</v>
      </c>
      <c r="O5" s="231"/>
      <c r="P5" s="231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256" ht="31.5" x14ac:dyDescent="0.25">
      <c r="A6" s="42">
        <v>1</v>
      </c>
      <c r="B6" s="346" t="s">
        <v>129</v>
      </c>
      <c r="C6" s="296">
        <v>4734238.8</v>
      </c>
      <c r="D6" s="297">
        <f>C17</f>
        <v>5852572.6099999994</v>
      </c>
      <c r="E6" s="296">
        <v>0</v>
      </c>
      <c r="F6" s="297">
        <f>E17</f>
        <v>0</v>
      </c>
      <c r="G6" s="298">
        <v>399181.5</v>
      </c>
      <c r="H6" s="299">
        <f>G17</f>
        <v>342611.75</v>
      </c>
      <c r="I6" s="296">
        <v>0</v>
      </c>
      <c r="J6" s="297">
        <f>SUM(I17)</f>
        <v>0</v>
      </c>
      <c r="K6" s="296">
        <v>0</v>
      </c>
      <c r="L6" s="297">
        <f>SUM(K17)</f>
        <v>0</v>
      </c>
      <c r="M6" s="297">
        <f t="shared" ref="M6:N8" si="0">C6+E6+G6+I6+K6</f>
        <v>5133420.3</v>
      </c>
      <c r="N6" s="300">
        <f t="shared" si="0"/>
        <v>6195184.3599999994</v>
      </c>
      <c r="O6" s="231"/>
      <c r="P6" s="231"/>
    </row>
    <row r="7" spans="1:256" ht="31.5" x14ac:dyDescent="0.25">
      <c r="A7" s="42">
        <v>2</v>
      </c>
      <c r="B7" s="347" t="s">
        <v>582</v>
      </c>
      <c r="C7" s="297">
        <f t="shared" ref="C7:L7" si="1">SUM(C8:C15)</f>
        <v>1218112.17</v>
      </c>
      <c r="D7" s="297">
        <f t="shared" si="1"/>
        <v>3674166.86</v>
      </c>
      <c r="E7" s="297">
        <f t="shared" si="1"/>
        <v>1248313.0900000001</v>
      </c>
      <c r="F7" s="297">
        <f t="shared" si="1"/>
        <v>1896622.17</v>
      </c>
      <c r="G7" s="299">
        <f>SUM(G8:G15)</f>
        <v>1195469.47</v>
      </c>
      <c r="H7" s="299">
        <f>SUM(H8:H15)</f>
        <v>1171367.3700000001</v>
      </c>
      <c r="I7" s="297">
        <f t="shared" si="1"/>
        <v>0</v>
      </c>
      <c r="J7" s="297">
        <f t="shared" si="1"/>
        <v>0</v>
      </c>
      <c r="K7" s="297">
        <f t="shared" si="1"/>
        <v>0</v>
      </c>
      <c r="L7" s="297">
        <f t="shared" si="1"/>
        <v>0</v>
      </c>
      <c r="M7" s="297">
        <f t="shared" si="0"/>
        <v>3661894.7299999995</v>
      </c>
      <c r="N7" s="300">
        <f t="shared" si="0"/>
        <v>6742156.3999999994</v>
      </c>
      <c r="O7" s="231"/>
      <c r="P7" s="231"/>
    </row>
    <row r="8" spans="1:256" ht="22.5" customHeight="1" x14ac:dyDescent="0.25">
      <c r="A8" s="42">
        <v>3</v>
      </c>
      <c r="B8" s="348" t="s">
        <v>42</v>
      </c>
      <c r="C8" s="301">
        <v>1218112.17</v>
      </c>
      <c r="D8" s="301">
        <v>3674166.86</v>
      </c>
      <c r="E8" s="301"/>
      <c r="F8" s="301"/>
      <c r="G8" s="302"/>
      <c r="H8" s="302"/>
      <c r="I8" s="301"/>
      <c r="J8" s="301"/>
      <c r="K8" s="301"/>
      <c r="L8" s="301"/>
      <c r="M8" s="297">
        <f t="shared" si="0"/>
        <v>1218112.17</v>
      </c>
      <c r="N8" s="300">
        <f t="shared" si="0"/>
        <v>3674166.86</v>
      </c>
    </row>
    <row r="9" spans="1:256" ht="129" customHeight="1" x14ac:dyDescent="0.25">
      <c r="A9" s="42">
        <v>4</v>
      </c>
      <c r="B9" s="348" t="s">
        <v>203</v>
      </c>
      <c r="C9" s="303" t="s">
        <v>202</v>
      </c>
      <c r="D9" s="303" t="s">
        <v>202</v>
      </c>
      <c r="E9" s="301">
        <v>1248313.0900000001</v>
      </c>
      <c r="F9" s="590">
        <f>1896622.17-377040.48</f>
        <v>1519581.69</v>
      </c>
      <c r="G9" s="303" t="s">
        <v>202</v>
      </c>
      <c r="H9" s="303" t="s">
        <v>202</v>
      </c>
      <c r="I9" s="304" t="s">
        <v>202</v>
      </c>
      <c r="J9" s="304" t="s">
        <v>202</v>
      </c>
      <c r="K9" s="303" t="s">
        <v>202</v>
      </c>
      <c r="L9" s="303" t="s">
        <v>202</v>
      </c>
      <c r="M9" s="297">
        <f>E9</f>
        <v>1248313.0900000001</v>
      </c>
      <c r="N9" s="300">
        <f>F9</f>
        <v>1519581.69</v>
      </c>
      <c r="O9" s="656"/>
      <c r="P9" s="656"/>
    </row>
    <row r="10" spans="1:256" ht="31.5" x14ac:dyDescent="0.25">
      <c r="A10" s="42">
        <v>5</v>
      </c>
      <c r="B10" s="348" t="s">
        <v>1</v>
      </c>
      <c r="C10" s="303" t="s">
        <v>202</v>
      </c>
      <c r="D10" s="303" t="s">
        <v>202</v>
      </c>
      <c r="E10" s="301"/>
      <c r="F10" s="301">
        <v>377040.48</v>
      </c>
      <c r="G10" s="303" t="s">
        <v>202</v>
      </c>
      <c r="H10" s="303" t="s">
        <v>202</v>
      </c>
      <c r="I10" s="304" t="s">
        <v>202</v>
      </c>
      <c r="J10" s="304" t="s">
        <v>202</v>
      </c>
      <c r="K10" s="303" t="s">
        <v>202</v>
      </c>
      <c r="L10" s="303" t="s">
        <v>202</v>
      </c>
      <c r="M10" s="297">
        <f>E10</f>
        <v>0</v>
      </c>
      <c r="N10" s="300">
        <f>F10</f>
        <v>377040.48</v>
      </c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  <c r="IV10" s="233"/>
    </row>
    <row r="11" spans="1:256" ht="31.5" x14ac:dyDescent="0.25">
      <c r="A11" s="42">
        <v>6</v>
      </c>
      <c r="B11" s="348" t="s">
        <v>204</v>
      </c>
      <c r="C11" s="303" t="s">
        <v>202</v>
      </c>
      <c r="D11" s="303" t="s">
        <v>202</v>
      </c>
      <c r="E11" s="301"/>
      <c r="F11" s="301"/>
      <c r="G11" s="302"/>
      <c r="H11" s="302"/>
      <c r="I11" s="305"/>
      <c r="J11" s="305"/>
      <c r="K11" s="296"/>
      <c r="L11" s="296"/>
      <c r="M11" s="297">
        <f>E11+G11+I11+K11</f>
        <v>0</v>
      </c>
      <c r="N11" s="300">
        <f>F11+H11+J11+L11</f>
        <v>0</v>
      </c>
    </row>
    <row r="12" spans="1:256" ht="17.25" customHeight="1" x14ac:dyDescent="0.25">
      <c r="A12" s="42">
        <v>7</v>
      </c>
      <c r="B12" s="348" t="s">
        <v>205</v>
      </c>
      <c r="C12" s="301"/>
      <c r="D12" s="301"/>
      <c r="E12" s="301"/>
      <c r="F12" s="301"/>
      <c r="G12" s="302"/>
      <c r="H12" s="302"/>
      <c r="I12" s="305"/>
      <c r="J12" s="305"/>
      <c r="K12" s="301"/>
      <c r="L12" s="301"/>
      <c r="M12" s="297">
        <f>C12+E12+G12+I12+K12</f>
        <v>0</v>
      </c>
      <c r="N12" s="300">
        <f>D12+F12+H12+J12+L12</f>
        <v>0</v>
      </c>
    </row>
    <row r="13" spans="1:256" ht="18.75" x14ac:dyDescent="0.25">
      <c r="A13" s="42">
        <v>8</v>
      </c>
      <c r="B13" s="349" t="s">
        <v>43</v>
      </c>
      <c r="C13" s="303" t="s">
        <v>202</v>
      </c>
      <c r="D13" s="303" t="s">
        <v>202</v>
      </c>
      <c r="E13" s="303" t="s">
        <v>202</v>
      </c>
      <c r="F13" s="303" t="s">
        <v>202</v>
      </c>
      <c r="G13" s="302">
        <v>1130740</v>
      </c>
      <c r="H13" s="302">
        <v>1122414</v>
      </c>
      <c r="I13" s="306" t="s">
        <v>202</v>
      </c>
      <c r="J13" s="306" t="s">
        <v>202</v>
      </c>
      <c r="K13" s="306" t="s">
        <v>202</v>
      </c>
      <c r="L13" s="306" t="s">
        <v>202</v>
      </c>
      <c r="M13" s="297">
        <f>G13</f>
        <v>1130740</v>
      </c>
      <c r="N13" s="300">
        <f>H13</f>
        <v>1122414</v>
      </c>
    </row>
    <row r="14" spans="1:256" ht="19.5" customHeight="1" x14ac:dyDescent="0.25">
      <c r="A14" s="42">
        <v>9</v>
      </c>
      <c r="B14" s="348" t="s">
        <v>8</v>
      </c>
      <c r="C14" s="303" t="s">
        <v>202</v>
      </c>
      <c r="D14" s="303" t="s">
        <v>202</v>
      </c>
      <c r="E14" s="303" t="s">
        <v>202</v>
      </c>
      <c r="F14" s="303" t="s">
        <v>202</v>
      </c>
      <c r="G14" s="302">
        <v>64729.47</v>
      </c>
      <c r="H14" s="302">
        <v>48953.37</v>
      </c>
      <c r="I14" s="307" t="s">
        <v>202</v>
      </c>
      <c r="J14" s="307" t="s">
        <v>202</v>
      </c>
      <c r="K14" s="306" t="s">
        <v>202</v>
      </c>
      <c r="L14" s="306" t="s">
        <v>202</v>
      </c>
      <c r="M14" s="297">
        <f>G14</f>
        <v>64729.47</v>
      </c>
      <c r="N14" s="300">
        <f>H14</f>
        <v>48953.37</v>
      </c>
    </row>
    <row r="15" spans="1:256" ht="18.75" x14ac:dyDescent="0.25">
      <c r="A15" s="42">
        <v>10</v>
      </c>
      <c r="B15" s="348" t="s">
        <v>44</v>
      </c>
      <c r="C15" s="301"/>
      <c r="D15" s="301"/>
      <c r="E15" s="301"/>
      <c r="F15" s="301"/>
      <c r="G15" s="302"/>
      <c r="H15" s="302"/>
      <c r="I15" s="305"/>
      <c r="J15" s="305"/>
      <c r="K15" s="301"/>
      <c r="L15" s="301"/>
      <c r="M15" s="297">
        <f>C15+E15+G15+I15+K15</f>
        <v>0</v>
      </c>
      <c r="N15" s="300">
        <f>D15+F15+H15+J15+L15</f>
        <v>0</v>
      </c>
    </row>
    <row r="16" spans="1:256" ht="31.5" x14ac:dyDescent="0.25">
      <c r="A16" s="42">
        <v>11</v>
      </c>
      <c r="B16" s="346" t="s">
        <v>130</v>
      </c>
      <c r="C16" s="296">
        <v>99778.36</v>
      </c>
      <c r="D16" s="296">
        <v>316825</v>
      </c>
      <c r="E16" s="296">
        <v>1248313.0900000001</v>
      </c>
      <c r="F16" s="296">
        <v>1896340.43</v>
      </c>
      <c r="G16" s="302">
        <v>1252039.22</v>
      </c>
      <c r="H16" s="302">
        <v>1203712.8400000001</v>
      </c>
      <c r="I16" s="296"/>
      <c r="J16" s="296"/>
      <c r="K16" s="296"/>
      <c r="L16" s="296"/>
      <c r="M16" s="297">
        <f t="shared" ref="M16:N18" si="2">C16+E16+G16+I16+K16</f>
        <v>2600130.67</v>
      </c>
      <c r="N16" s="300">
        <f t="shared" si="2"/>
        <v>3416878.2699999996</v>
      </c>
    </row>
    <row r="17" spans="1:15" ht="31.5" x14ac:dyDescent="0.25">
      <c r="A17" s="42">
        <v>12</v>
      </c>
      <c r="B17" s="346" t="s">
        <v>9</v>
      </c>
      <c r="C17" s="297">
        <f t="shared" ref="C17:L17" si="3">C6+C7-C16</f>
        <v>5852572.6099999994</v>
      </c>
      <c r="D17" s="297">
        <f t="shared" si="3"/>
        <v>9209914.4699999988</v>
      </c>
      <c r="E17" s="297">
        <f t="shared" si="3"/>
        <v>0</v>
      </c>
      <c r="F17" s="297">
        <f t="shared" si="3"/>
        <v>281.73999999999069</v>
      </c>
      <c r="G17" s="299">
        <f t="shared" si="3"/>
        <v>342611.75</v>
      </c>
      <c r="H17" s="299">
        <f t="shared" si="3"/>
        <v>310266.28000000003</v>
      </c>
      <c r="I17" s="297">
        <f t="shared" si="3"/>
        <v>0</v>
      </c>
      <c r="J17" s="297">
        <f t="shared" si="3"/>
        <v>0</v>
      </c>
      <c r="K17" s="297">
        <f t="shared" si="3"/>
        <v>0</v>
      </c>
      <c r="L17" s="297">
        <f t="shared" si="3"/>
        <v>0</v>
      </c>
      <c r="M17" s="297">
        <f t="shared" si="2"/>
        <v>6195184.3599999994</v>
      </c>
      <c r="N17" s="300">
        <f t="shared" si="2"/>
        <v>9520462.4899999984</v>
      </c>
      <c r="O17" s="591"/>
    </row>
    <row r="18" spans="1:15" ht="48.75" customHeight="1" thickBot="1" x14ac:dyDescent="0.3">
      <c r="A18" s="234">
        <v>13</v>
      </c>
      <c r="B18" s="350" t="s">
        <v>646</v>
      </c>
      <c r="C18" s="308">
        <v>0</v>
      </c>
      <c r="D18" s="308">
        <v>0</v>
      </c>
      <c r="E18" s="308">
        <v>0</v>
      </c>
      <c r="F18" s="308">
        <v>0</v>
      </c>
      <c r="G18" s="309">
        <v>0</v>
      </c>
      <c r="H18" s="309">
        <v>0</v>
      </c>
      <c r="I18" s="308">
        <v>0</v>
      </c>
      <c r="J18" s="308">
        <v>0</v>
      </c>
      <c r="K18" s="308">
        <v>0</v>
      </c>
      <c r="L18" s="308">
        <v>0</v>
      </c>
      <c r="M18" s="310">
        <f t="shared" si="2"/>
        <v>0</v>
      </c>
      <c r="N18" s="311">
        <f t="shared" si="2"/>
        <v>0</v>
      </c>
    </row>
    <row r="19" spans="1:15" x14ac:dyDescent="0.25">
      <c r="F19" s="588"/>
      <c r="H19" s="583"/>
      <c r="I19" s="236"/>
      <c r="J19" s="236"/>
    </row>
    <row r="20" spans="1:15" x14ac:dyDescent="0.25">
      <c r="A20" s="236" t="s">
        <v>45</v>
      </c>
      <c r="B20" s="236"/>
      <c r="C20" s="236"/>
      <c r="E20" s="236"/>
      <c r="F20" s="589"/>
      <c r="G20" s="236"/>
      <c r="H20" s="584"/>
      <c r="I20" s="236"/>
      <c r="J20" s="236"/>
      <c r="K20" s="236"/>
      <c r="L20" s="236"/>
      <c r="M20" s="236"/>
      <c r="N20" s="236"/>
    </row>
    <row r="21" spans="1:15" x14ac:dyDescent="0.25">
      <c r="A21" s="236" t="s">
        <v>46</v>
      </c>
      <c r="B21" s="236"/>
      <c r="C21" s="236"/>
      <c r="D21" s="236"/>
      <c r="E21" s="236"/>
      <c r="F21" s="236"/>
      <c r="G21" s="236"/>
      <c r="H21" s="584"/>
      <c r="I21" s="236"/>
      <c r="J21" s="236"/>
      <c r="K21" s="236"/>
      <c r="L21" s="236"/>
      <c r="M21" s="236"/>
      <c r="N21" s="236"/>
    </row>
    <row r="22" spans="1:15" ht="33" customHeight="1" x14ac:dyDescent="0.25">
      <c r="A22" s="775" t="s">
        <v>47</v>
      </c>
      <c r="B22" s="775"/>
      <c r="C22" s="775"/>
      <c r="D22" s="236"/>
      <c r="E22" s="236"/>
      <c r="F22" s="584"/>
      <c r="G22" s="236"/>
      <c r="H22" s="236"/>
      <c r="I22" s="236"/>
      <c r="J22" s="236"/>
      <c r="K22" s="236"/>
      <c r="L22" s="236"/>
      <c r="M22" s="236"/>
      <c r="N22" s="236"/>
    </row>
    <row r="23" spans="1:15" x14ac:dyDescent="0.25">
      <c r="F23" s="588"/>
      <c r="L23" s="236"/>
    </row>
    <row r="24" spans="1:15" x14ac:dyDescent="0.25">
      <c r="F24" s="591"/>
    </row>
  </sheetData>
  <mergeCells count="12">
    <mergeCell ref="O9:P9"/>
    <mergeCell ref="M3:N3"/>
    <mergeCell ref="A22:C22"/>
    <mergeCell ref="A1:N1"/>
    <mergeCell ref="A2:N2"/>
    <mergeCell ref="A3:A4"/>
    <mergeCell ref="B3:B4"/>
    <mergeCell ref="C3:D3"/>
    <mergeCell ref="E3:F3"/>
    <mergeCell ref="G3:H3"/>
    <mergeCell ref="I3:J3"/>
    <mergeCell ref="K3:L3"/>
  </mergeCells>
  <pageMargins left="0.42" right="0.28999999999999998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tabColor indexed="42"/>
    <pageSetUpPr fitToPage="1"/>
  </sheetPr>
  <dimension ref="A1:J29"/>
  <sheetViews>
    <sheetView zoomScaleNormal="10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F23" sqref="F23"/>
    </sheetView>
  </sheetViews>
  <sheetFormatPr defaultRowHeight="15.75" x14ac:dyDescent="0.2"/>
  <cols>
    <col min="1" max="1" width="10.5703125" style="12" customWidth="1"/>
    <col min="2" max="2" width="43.140625" style="70" customWidth="1"/>
    <col min="3" max="3" width="28.42578125" style="11" customWidth="1"/>
    <col min="4" max="4" width="52.7109375" style="11" customWidth="1"/>
    <col min="5" max="5" width="12.140625" style="11" customWidth="1"/>
    <col min="6" max="9" width="9.140625" style="11"/>
    <col min="10" max="10" width="39.85546875" style="11" customWidth="1"/>
    <col min="11" max="16384" width="9.140625" style="11"/>
  </cols>
  <sheetData>
    <row r="1" spans="1:4" ht="50.1" customHeight="1" thickBot="1" x14ac:dyDescent="0.25">
      <c r="A1" s="632" t="s">
        <v>767</v>
      </c>
      <c r="B1" s="633"/>
      <c r="C1" s="633"/>
      <c r="D1" s="634"/>
    </row>
    <row r="2" spans="1:4" ht="35.1" customHeight="1" x14ac:dyDescent="0.2">
      <c r="A2" s="647" t="s">
        <v>880</v>
      </c>
      <c r="B2" s="648"/>
      <c r="C2" s="648"/>
      <c r="D2" s="649"/>
    </row>
    <row r="3" spans="1:4" ht="31.5" x14ac:dyDescent="0.2">
      <c r="A3" s="110" t="s">
        <v>133</v>
      </c>
      <c r="B3" s="98" t="s">
        <v>189</v>
      </c>
      <c r="C3" s="98" t="s">
        <v>768</v>
      </c>
      <c r="D3" s="35" t="s">
        <v>589</v>
      </c>
    </row>
    <row r="4" spans="1:4" s="13" customFormat="1" ht="18" customHeight="1" x14ac:dyDescent="0.2">
      <c r="A4" s="106"/>
      <c r="B4" s="109" t="s">
        <v>180</v>
      </c>
      <c r="C4" s="89" t="s">
        <v>181</v>
      </c>
      <c r="D4" s="90" t="s">
        <v>182</v>
      </c>
    </row>
    <row r="5" spans="1:4" s="13" customFormat="1" ht="31.5" x14ac:dyDescent="0.2">
      <c r="A5" s="106">
        <v>1</v>
      </c>
      <c r="B5" s="68" t="s">
        <v>10</v>
      </c>
      <c r="C5" s="61">
        <f>SUM(C6:C19)</f>
        <v>22260262.379999999</v>
      </c>
      <c r="D5" s="67"/>
    </row>
    <row r="6" spans="1:4" ht="63.75" x14ac:dyDescent="0.2">
      <c r="A6" s="106">
        <v>2</v>
      </c>
      <c r="B6" s="60" t="s">
        <v>123</v>
      </c>
      <c r="C6" s="138">
        <v>0</v>
      </c>
      <c r="D6" s="519" t="s">
        <v>859</v>
      </c>
    </row>
    <row r="7" spans="1:4" ht="63.75" x14ac:dyDescent="0.2">
      <c r="A7" s="106">
        <v>3</v>
      </c>
      <c r="B7" s="60" t="s">
        <v>124</v>
      </c>
      <c r="C7" s="138">
        <v>9098234.4100000001</v>
      </c>
      <c r="D7" s="519" t="s">
        <v>860</v>
      </c>
    </row>
    <row r="8" spans="1:4" x14ac:dyDescent="0.2">
      <c r="A8" s="106">
        <v>4</v>
      </c>
      <c r="B8" s="112" t="s">
        <v>125</v>
      </c>
      <c r="C8" s="138">
        <v>0</v>
      </c>
      <c r="D8" s="519" t="s">
        <v>861</v>
      </c>
    </row>
    <row r="9" spans="1:4" ht="63.75" x14ac:dyDescent="0.2">
      <c r="A9" s="106">
        <v>5</v>
      </c>
      <c r="B9" s="112" t="s">
        <v>103</v>
      </c>
      <c r="C9" s="138">
        <v>10924033.5</v>
      </c>
      <c r="D9" s="519" t="s">
        <v>862</v>
      </c>
    </row>
    <row r="10" spans="1:4" x14ac:dyDescent="0.2">
      <c r="A10" s="106">
        <v>6</v>
      </c>
      <c r="B10" s="112" t="s">
        <v>171</v>
      </c>
      <c r="C10" s="138"/>
      <c r="D10" s="120"/>
    </row>
    <row r="11" spans="1:4" x14ac:dyDescent="0.2">
      <c r="A11" s="106">
        <v>7</v>
      </c>
      <c r="B11" s="112" t="s">
        <v>172</v>
      </c>
      <c r="C11" s="138">
        <v>49101.41</v>
      </c>
      <c r="D11" s="519" t="s">
        <v>863</v>
      </c>
    </row>
    <row r="12" spans="1:4" ht="89.25" x14ac:dyDescent="0.2">
      <c r="A12" s="106">
        <v>8</v>
      </c>
      <c r="B12" s="112" t="s">
        <v>271</v>
      </c>
      <c r="C12" s="138">
        <f>70.77+5332.19+231.64+35529.51+57481.69</f>
        <v>98645.8</v>
      </c>
      <c r="D12" s="519" t="s">
        <v>870</v>
      </c>
    </row>
    <row r="13" spans="1:4" x14ac:dyDescent="0.2">
      <c r="A13" s="106">
        <v>9</v>
      </c>
      <c r="B13" s="112" t="s">
        <v>104</v>
      </c>
      <c r="C13" s="138">
        <v>38212.65</v>
      </c>
      <c r="D13" s="519" t="s">
        <v>864</v>
      </c>
    </row>
    <row r="14" spans="1:4" ht="63.75" x14ac:dyDescent="0.2">
      <c r="A14" s="106">
        <v>10</v>
      </c>
      <c r="B14" s="112" t="s">
        <v>105</v>
      </c>
      <c r="C14" s="138">
        <v>0</v>
      </c>
      <c r="D14" s="519" t="s">
        <v>867</v>
      </c>
    </row>
    <row r="15" spans="1:4" ht="63.75" x14ac:dyDescent="0.2">
      <c r="A15" s="106">
        <v>11</v>
      </c>
      <c r="B15" s="112" t="s">
        <v>106</v>
      </c>
      <c r="C15" s="138">
        <v>394869.18</v>
      </c>
      <c r="D15" s="519" t="s">
        <v>868</v>
      </c>
    </row>
    <row r="16" spans="1:4" ht="63.75" x14ac:dyDescent="0.2">
      <c r="A16" s="106">
        <v>12</v>
      </c>
      <c r="B16" s="112" t="s">
        <v>107</v>
      </c>
      <c r="C16" s="138">
        <v>127076.73</v>
      </c>
      <c r="D16" s="519" t="s">
        <v>869</v>
      </c>
    </row>
    <row r="17" spans="1:10" x14ac:dyDescent="0.2">
      <c r="A17" s="106">
        <v>13</v>
      </c>
      <c r="B17" s="112" t="s">
        <v>108</v>
      </c>
      <c r="C17" s="138">
        <v>0</v>
      </c>
      <c r="D17" s="519" t="s">
        <v>865</v>
      </c>
    </row>
    <row r="18" spans="1:10" x14ac:dyDescent="0.2">
      <c r="A18" s="106">
        <v>14</v>
      </c>
      <c r="B18" s="112" t="s">
        <v>109</v>
      </c>
      <c r="C18" s="138">
        <v>75000</v>
      </c>
      <c r="D18" s="519" t="s">
        <v>866</v>
      </c>
    </row>
    <row r="19" spans="1:10" ht="165.75" x14ac:dyDescent="0.2">
      <c r="A19" s="106">
        <v>15</v>
      </c>
      <c r="B19" s="112" t="s">
        <v>110</v>
      </c>
      <c r="C19" s="138">
        <f>525169.83+135664.38+660010.19+22034.46+1888.9+6505.82+506.85+102650.54+657.73</f>
        <v>1455088.7</v>
      </c>
      <c r="D19" s="519" t="s">
        <v>871</v>
      </c>
      <c r="J19" s="521"/>
    </row>
    <row r="20" spans="1:10" x14ac:dyDescent="0.2">
      <c r="A20" s="106">
        <v>16</v>
      </c>
      <c r="B20" s="68" t="s">
        <v>201</v>
      </c>
      <c r="C20" s="138"/>
      <c r="D20" s="120"/>
    </row>
    <row r="21" spans="1:10" x14ac:dyDescent="0.2">
      <c r="A21" s="106">
        <v>17</v>
      </c>
      <c r="B21" s="111" t="s">
        <v>570</v>
      </c>
      <c r="C21" s="156"/>
      <c r="D21" s="134"/>
    </row>
    <row r="22" spans="1:10" ht="32.25" thickBot="1" x14ac:dyDescent="0.25">
      <c r="A22" s="107">
        <v>18</v>
      </c>
      <c r="B22" s="81" t="s">
        <v>20</v>
      </c>
      <c r="C22" s="383">
        <f>+C5+C20+C21</f>
        <v>22260262.379999999</v>
      </c>
      <c r="D22" s="77"/>
      <c r="E22" s="384"/>
    </row>
    <row r="23" spans="1:10" x14ac:dyDescent="0.2">
      <c r="C23" s="609"/>
    </row>
    <row r="24" spans="1:10" x14ac:dyDescent="0.2">
      <c r="C24" s="520"/>
    </row>
    <row r="25" spans="1:10" x14ac:dyDescent="0.2">
      <c r="A25" s="788"/>
      <c r="B25" s="788"/>
      <c r="C25" s="788"/>
      <c r="D25" s="788"/>
    </row>
    <row r="26" spans="1:10" x14ac:dyDescent="0.2">
      <c r="A26" s="788"/>
      <c r="B26" s="788"/>
      <c r="C26" s="788"/>
      <c r="D26" s="788"/>
    </row>
    <row r="27" spans="1:10" x14ac:dyDescent="0.2">
      <c r="A27" s="788"/>
      <c r="B27" s="788"/>
      <c r="C27" s="788"/>
      <c r="D27" s="788"/>
    </row>
    <row r="29" spans="1:10" x14ac:dyDescent="0.2">
      <c r="C29" s="520"/>
    </row>
  </sheetData>
  <mergeCells count="4">
    <mergeCell ref="A1:D1"/>
    <mergeCell ref="A2:D2"/>
    <mergeCell ref="A25:D26"/>
    <mergeCell ref="A27:D27"/>
  </mergeCells>
  <phoneticPr fontId="0" type="noConversion"/>
  <printOptions gridLines="1"/>
  <pageMargins left="0.74803149606299213" right="0.74803149606299213" top="0.98425196850393704" bottom="0.78740157480314965" header="0.51181102362204722" footer="0.51181102362204722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5" sqref="J15"/>
    </sheetView>
  </sheetViews>
  <sheetFormatPr defaultRowHeight="15.75" x14ac:dyDescent="0.2"/>
  <cols>
    <col min="1" max="1" width="7.7109375" style="20" customWidth="1"/>
    <col min="2" max="2" width="47.5703125" style="21" customWidth="1"/>
    <col min="3" max="3" width="17.85546875" style="22" customWidth="1"/>
    <col min="4" max="4" width="16.85546875" style="22" customWidth="1"/>
    <col min="5" max="5" width="17.140625" style="22" customWidth="1"/>
    <col min="6" max="6" width="18.140625" style="22" customWidth="1"/>
    <col min="7" max="7" width="17.42578125" style="22" customWidth="1"/>
    <col min="8" max="8" width="17" style="22" customWidth="1"/>
    <col min="9" max="16384" width="9.140625" style="22"/>
  </cols>
  <sheetData>
    <row r="1" spans="1:11" s="26" customFormat="1" ht="69" customHeight="1" thickBot="1" x14ac:dyDescent="0.25">
      <c r="A1" s="789" t="s">
        <v>769</v>
      </c>
      <c r="B1" s="790"/>
      <c r="C1" s="790"/>
      <c r="D1" s="790"/>
      <c r="E1" s="790"/>
      <c r="F1" s="790"/>
      <c r="G1" s="790"/>
      <c r="H1" s="791"/>
      <c r="I1" s="264"/>
    </row>
    <row r="2" spans="1:11" s="26" customFormat="1" ht="35.1" customHeight="1" x14ac:dyDescent="0.2">
      <c r="A2" s="629" t="s">
        <v>876</v>
      </c>
      <c r="B2" s="630"/>
      <c r="C2" s="630"/>
      <c r="D2" s="630"/>
      <c r="E2" s="630"/>
      <c r="F2" s="630"/>
      <c r="G2" s="630"/>
      <c r="H2" s="631"/>
    </row>
    <row r="3" spans="1:11" ht="27" customHeight="1" x14ac:dyDescent="0.2">
      <c r="A3" s="725" t="s">
        <v>133</v>
      </c>
      <c r="B3" s="652" t="s">
        <v>215</v>
      </c>
      <c r="C3" s="677" t="s">
        <v>195</v>
      </c>
      <c r="D3" s="677"/>
      <c r="E3" s="677" t="s">
        <v>196</v>
      </c>
      <c r="F3" s="677"/>
      <c r="G3" s="792" t="s">
        <v>137</v>
      </c>
      <c r="H3" s="793"/>
    </row>
    <row r="4" spans="1:11" ht="33" customHeight="1" x14ac:dyDescent="0.2">
      <c r="A4" s="650"/>
      <c r="B4" s="687"/>
      <c r="C4" s="14" t="s">
        <v>34</v>
      </c>
      <c r="D4" s="14" t="s">
        <v>126</v>
      </c>
      <c r="E4" s="14" t="s">
        <v>34</v>
      </c>
      <c r="F4" s="14" t="s">
        <v>126</v>
      </c>
      <c r="G4" s="14" t="s">
        <v>34</v>
      </c>
      <c r="H4" s="29" t="s">
        <v>126</v>
      </c>
      <c r="I4" s="610"/>
      <c r="J4" s="611"/>
      <c r="K4" s="611"/>
    </row>
    <row r="5" spans="1:11" ht="21.6" customHeight="1" x14ac:dyDescent="0.2">
      <c r="A5" s="30"/>
      <c r="B5" s="17"/>
      <c r="C5" s="43" t="s">
        <v>180</v>
      </c>
      <c r="D5" s="43" t="s">
        <v>181</v>
      </c>
      <c r="E5" s="43" t="s">
        <v>182</v>
      </c>
      <c r="F5" s="43" t="s">
        <v>188</v>
      </c>
      <c r="G5" s="43" t="s">
        <v>16</v>
      </c>
      <c r="H5" s="265" t="s">
        <v>17</v>
      </c>
      <c r="I5" s="612"/>
      <c r="J5" s="613"/>
      <c r="K5" s="611"/>
    </row>
    <row r="6" spans="1:11" x14ac:dyDescent="0.2">
      <c r="A6" s="266">
        <v>1</v>
      </c>
      <c r="B6" s="219" t="s">
        <v>737</v>
      </c>
      <c r="C6" s="220">
        <f>C7</f>
        <v>0</v>
      </c>
      <c r="D6" s="220">
        <f>D8</f>
        <v>0</v>
      </c>
      <c r="E6" s="220">
        <f>E7</f>
        <v>0</v>
      </c>
      <c r="F6" s="220">
        <f>F8</f>
        <v>0</v>
      </c>
      <c r="G6" s="220">
        <f>C6+E6</f>
        <v>0</v>
      </c>
      <c r="H6" s="267">
        <f>D6+F6</f>
        <v>0</v>
      </c>
      <c r="I6" s="423"/>
      <c r="J6" s="423"/>
      <c r="K6" s="423"/>
    </row>
    <row r="7" spans="1:11" ht="19.5" customHeight="1" x14ac:dyDescent="0.2">
      <c r="A7" s="266">
        <v>2</v>
      </c>
      <c r="B7" s="292" t="s">
        <v>738</v>
      </c>
      <c r="C7" s="221"/>
      <c r="D7" s="293" t="s">
        <v>604</v>
      </c>
      <c r="E7" s="221"/>
      <c r="F7" s="293" t="s">
        <v>604</v>
      </c>
      <c r="G7" s="220">
        <f t="shared" ref="G7:G26" si="0">C7+E7</f>
        <v>0</v>
      </c>
      <c r="H7" s="295" t="s">
        <v>604</v>
      </c>
      <c r="I7" s="423"/>
      <c r="J7" s="423"/>
      <c r="K7" s="423"/>
    </row>
    <row r="8" spans="1:11" ht="19.5" customHeight="1" x14ac:dyDescent="0.2">
      <c r="A8" s="266">
        <f t="shared" ref="A8:A17" si="1">A7+1</f>
        <v>3</v>
      </c>
      <c r="B8" s="292" t="s">
        <v>640</v>
      </c>
      <c r="C8" s="293" t="s">
        <v>604</v>
      </c>
      <c r="D8" s="221"/>
      <c r="E8" s="293" t="s">
        <v>604</v>
      </c>
      <c r="F8" s="221"/>
      <c r="G8" s="294" t="s">
        <v>604</v>
      </c>
      <c r="H8" s="267">
        <f t="shared" ref="H8:H26" si="2">D8+F8</f>
        <v>0</v>
      </c>
      <c r="I8" s="423"/>
      <c r="J8" s="423"/>
      <c r="K8" s="423"/>
    </row>
    <row r="9" spans="1:11" ht="19.5" customHeight="1" x14ac:dyDescent="0.2">
      <c r="A9" s="266">
        <f t="shared" si="1"/>
        <v>4</v>
      </c>
      <c r="B9" s="219" t="s">
        <v>641</v>
      </c>
      <c r="C9" s="220">
        <f>SUM(C10:C11)</f>
        <v>0</v>
      </c>
      <c r="D9" s="220">
        <f>SUM(D10:D11)</f>
        <v>0</v>
      </c>
      <c r="E9" s="220">
        <f>SUM(E10:E11)</f>
        <v>0</v>
      </c>
      <c r="F9" s="220">
        <f>SUM(F10:F11)</f>
        <v>0</v>
      </c>
      <c r="G9" s="220">
        <f>C9+E9</f>
        <v>0</v>
      </c>
      <c r="H9" s="267">
        <f t="shared" si="2"/>
        <v>0</v>
      </c>
      <c r="I9" s="423"/>
      <c r="J9" s="423"/>
      <c r="K9" s="423"/>
    </row>
    <row r="10" spans="1:11" ht="19.5" customHeight="1" x14ac:dyDescent="0.2">
      <c r="A10" s="266">
        <f t="shared" si="1"/>
        <v>5</v>
      </c>
      <c r="B10" s="292" t="s">
        <v>642</v>
      </c>
      <c r="C10" s="221"/>
      <c r="D10" s="293" t="s">
        <v>604</v>
      </c>
      <c r="E10" s="221"/>
      <c r="F10" s="293" t="s">
        <v>604</v>
      </c>
      <c r="G10" s="220">
        <f>C10+E10</f>
        <v>0</v>
      </c>
      <c r="H10" s="295" t="s">
        <v>604</v>
      </c>
      <c r="I10" s="423"/>
      <c r="J10" s="423"/>
      <c r="K10" s="423"/>
    </row>
    <row r="11" spans="1:11" ht="19.5" customHeight="1" x14ac:dyDescent="0.2">
      <c r="A11" s="266">
        <f t="shared" si="1"/>
        <v>6</v>
      </c>
      <c r="B11" s="292" t="s">
        <v>643</v>
      </c>
      <c r="C11" s="293" t="s">
        <v>604</v>
      </c>
      <c r="D11" s="221"/>
      <c r="E11" s="293" t="s">
        <v>604</v>
      </c>
      <c r="F11" s="221"/>
      <c r="G11" s="294" t="s">
        <v>604</v>
      </c>
      <c r="H11" s="267">
        <f t="shared" si="2"/>
        <v>0</v>
      </c>
      <c r="I11" s="423"/>
      <c r="J11" s="423"/>
      <c r="K11" s="423"/>
    </row>
    <row r="12" spans="1:11" x14ac:dyDescent="0.2">
      <c r="A12" s="266">
        <v>7</v>
      </c>
      <c r="B12" s="424" t="s">
        <v>739</v>
      </c>
      <c r="C12" s="220">
        <f>SUM(C13:C14)</f>
        <v>5862.96</v>
      </c>
      <c r="D12" s="220">
        <f t="shared" ref="D12:F12" si="3">SUM(D13:D14)</f>
        <v>689.76</v>
      </c>
      <c r="E12" s="220">
        <f t="shared" si="3"/>
        <v>829337.62</v>
      </c>
      <c r="F12" s="220">
        <f t="shared" si="3"/>
        <v>97569.12</v>
      </c>
      <c r="G12" s="220">
        <f>C12+E12</f>
        <v>835200.58</v>
      </c>
      <c r="H12" s="267">
        <f>D12+F12</f>
        <v>98258.87999999999</v>
      </c>
      <c r="I12" s="425"/>
      <c r="J12" s="423"/>
      <c r="K12" s="423"/>
    </row>
    <row r="13" spans="1:11" ht="26.25" customHeight="1" x14ac:dyDescent="0.2">
      <c r="A13" s="266">
        <v>8</v>
      </c>
      <c r="B13" s="426" t="s">
        <v>746</v>
      </c>
      <c r="C13" s="293">
        <v>5862.96</v>
      </c>
      <c r="D13" s="293" t="s">
        <v>604</v>
      </c>
      <c r="E13" s="293">
        <v>829337.62</v>
      </c>
      <c r="F13" s="293" t="s">
        <v>604</v>
      </c>
      <c r="G13" s="220">
        <f>C13+E13</f>
        <v>835200.58</v>
      </c>
      <c r="H13" s="295" t="s">
        <v>604</v>
      </c>
      <c r="I13" s="425"/>
      <c r="J13" s="423"/>
      <c r="K13" s="423"/>
    </row>
    <row r="14" spans="1:11" ht="24" customHeight="1" x14ac:dyDescent="0.2">
      <c r="A14" s="266">
        <v>9</v>
      </c>
      <c r="B14" s="426" t="s">
        <v>747</v>
      </c>
      <c r="C14" s="293" t="s">
        <v>604</v>
      </c>
      <c r="D14" s="221">
        <v>689.76</v>
      </c>
      <c r="E14" s="293" t="s">
        <v>604</v>
      </c>
      <c r="F14" s="221">
        <v>97569.12</v>
      </c>
      <c r="G14" s="294" t="s">
        <v>604</v>
      </c>
      <c r="H14" s="267">
        <f>D14+F14</f>
        <v>98258.87999999999</v>
      </c>
      <c r="I14" s="425"/>
      <c r="J14" s="423"/>
      <c r="K14" s="423"/>
    </row>
    <row r="15" spans="1:11" ht="34.5" customHeight="1" x14ac:dyDescent="0.2">
      <c r="A15" s="266">
        <v>10</v>
      </c>
      <c r="B15" s="219" t="s">
        <v>740</v>
      </c>
      <c r="C15" s="220">
        <f>C6+C9+C12</f>
        <v>5862.96</v>
      </c>
      <c r="D15" s="220">
        <f>D6+D9+D12</f>
        <v>689.76</v>
      </c>
      <c r="E15" s="220">
        <f>E6+E9+E12</f>
        <v>829337.62</v>
      </c>
      <c r="F15" s="220">
        <f>F6+F9+F12</f>
        <v>97569.12</v>
      </c>
      <c r="G15" s="220">
        <f t="shared" ref="G15:H15" si="4">G6+G9</f>
        <v>0</v>
      </c>
      <c r="H15" s="267">
        <f t="shared" si="4"/>
        <v>0</v>
      </c>
      <c r="I15" s="425"/>
      <c r="J15" s="423"/>
      <c r="K15" s="423"/>
    </row>
    <row r="16" spans="1:11" ht="35.25" customHeight="1" x14ac:dyDescent="0.2">
      <c r="A16" s="266">
        <v>11</v>
      </c>
      <c r="B16" s="219" t="s">
        <v>741</v>
      </c>
      <c r="C16" s="220">
        <f>C17+SUM(C20:C25)</f>
        <v>1830572.35</v>
      </c>
      <c r="D16" s="220">
        <f t="shared" ref="D16:F16" si="5">D17+SUM(D20:D25)</f>
        <v>215361.43</v>
      </c>
      <c r="E16" s="220">
        <f t="shared" si="5"/>
        <v>0</v>
      </c>
      <c r="F16" s="220">
        <f t="shared" si="5"/>
        <v>0</v>
      </c>
      <c r="G16" s="220">
        <f>C16+E16</f>
        <v>1830572.35</v>
      </c>
      <c r="H16" s="267">
        <f t="shared" si="2"/>
        <v>215361.43</v>
      </c>
      <c r="I16" s="425"/>
      <c r="J16" s="423"/>
      <c r="K16" s="423"/>
    </row>
    <row r="17" spans="1:11" x14ac:dyDescent="0.2">
      <c r="A17" s="266">
        <f t="shared" si="1"/>
        <v>12</v>
      </c>
      <c r="B17" s="219" t="s">
        <v>742</v>
      </c>
      <c r="C17" s="220">
        <f>SUM(C18:C19)</f>
        <v>1830572.35</v>
      </c>
      <c r="D17" s="220">
        <f t="shared" ref="D17:F17" si="6">SUM(D18:D19)</f>
        <v>215361.43</v>
      </c>
      <c r="E17" s="220">
        <f t="shared" si="6"/>
        <v>0</v>
      </c>
      <c r="F17" s="220">
        <f t="shared" si="6"/>
        <v>0</v>
      </c>
      <c r="G17" s="220">
        <f>C17+E17</f>
        <v>1830572.35</v>
      </c>
      <c r="H17" s="267">
        <f t="shared" si="2"/>
        <v>215361.43</v>
      </c>
      <c r="I17" s="425"/>
      <c r="J17" s="423"/>
      <c r="K17" s="423"/>
    </row>
    <row r="18" spans="1:11" x14ac:dyDescent="0.2">
      <c r="A18" s="266">
        <v>13</v>
      </c>
      <c r="B18" s="223" t="s">
        <v>743</v>
      </c>
      <c r="C18" s="293">
        <v>1830572.35</v>
      </c>
      <c r="D18" s="293" t="s">
        <v>604</v>
      </c>
      <c r="E18" s="293"/>
      <c r="F18" s="293" t="s">
        <v>604</v>
      </c>
      <c r="G18" s="220">
        <f>C18+E18</f>
        <v>1830572.35</v>
      </c>
      <c r="H18" s="295" t="s">
        <v>604</v>
      </c>
      <c r="I18" s="425"/>
      <c r="J18" s="423"/>
      <c r="K18" s="423"/>
    </row>
    <row r="19" spans="1:11" x14ac:dyDescent="0.2">
      <c r="A19" s="266">
        <v>14</v>
      </c>
      <c r="B19" s="223" t="s">
        <v>744</v>
      </c>
      <c r="C19" s="293" t="s">
        <v>604</v>
      </c>
      <c r="D19" s="221">
        <v>215361.43</v>
      </c>
      <c r="E19" s="293" t="s">
        <v>604</v>
      </c>
      <c r="F19" s="221"/>
      <c r="G19" s="294" t="s">
        <v>604</v>
      </c>
      <c r="H19" s="267">
        <f>D19+F19</f>
        <v>215361.43</v>
      </c>
      <c r="I19" s="425"/>
      <c r="J19" s="423"/>
      <c r="K19" s="423"/>
    </row>
    <row r="20" spans="1:11" hidden="1" x14ac:dyDescent="0.2">
      <c r="A20" s="266">
        <v>15</v>
      </c>
      <c r="B20" s="223"/>
      <c r="C20" s="222"/>
      <c r="D20" s="222"/>
      <c r="E20" s="222"/>
      <c r="F20" s="222"/>
      <c r="G20" s="220">
        <f t="shared" ref="G20:H25" si="7">C20+E20</f>
        <v>0</v>
      </c>
      <c r="H20" s="267">
        <f t="shared" si="7"/>
        <v>0</v>
      </c>
      <c r="I20" s="423"/>
      <c r="J20" s="423"/>
      <c r="K20" s="423"/>
    </row>
    <row r="21" spans="1:11" hidden="1" x14ac:dyDescent="0.2">
      <c r="A21" s="427" t="s">
        <v>176</v>
      </c>
      <c r="B21" s="223"/>
      <c r="C21" s="222"/>
      <c r="D21" s="222"/>
      <c r="E21" s="222"/>
      <c r="F21" s="222"/>
      <c r="G21" s="220">
        <f t="shared" si="7"/>
        <v>0</v>
      </c>
      <c r="H21" s="267">
        <f t="shared" si="7"/>
        <v>0</v>
      </c>
      <c r="I21" s="423"/>
      <c r="J21" s="423"/>
      <c r="K21" s="423"/>
    </row>
    <row r="22" spans="1:11" hidden="1" x14ac:dyDescent="0.2">
      <c r="A22" s="427"/>
      <c r="B22" s="223"/>
      <c r="C22" s="222"/>
      <c r="D22" s="222"/>
      <c r="E22" s="222"/>
      <c r="F22" s="222"/>
      <c r="G22" s="220">
        <f t="shared" si="7"/>
        <v>0</v>
      </c>
      <c r="H22" s="267">
        <f t="shared" si="7"/>
        <v>0</v>
      </c>
      <c r="I22" s="423"/>
      <c r="J22" s="423"/>
      <c r="K22" s="423"/>
    </row>
    <row r="23" spans="1:11" hidden="1" x14ac:dyDescent="0.2">
      <c r="A23" s="427"/>
      <c r="B23" s="223"/>
      <c r="C23" s="222"/>
      <c r="D23" s="222"/>
      <c r="E23" s="222"/>
      <c r="F23" s="222"/>
      <c r="G23" s="220">
        <f t="shared" si="7"/>
        <v>0</v>
      </c>
      <c r="H23" s="267">
        <f t="shared" si="7"/>
        <v>0</v>
      </c>
      <c r="I23" s="423"/>
      <c r="J23" s="423"/>
      <c r="K23" s="423"/>
    </row>
    <row r="24" spans="1:11" hidden="1" x14ac:dyDescent="0.2">
      <c r="A24" s="427"/>
      <c r="B24" s="223"/>
      <c r="C24" s="222"/>
      <c r="D24" s="222"/>
      <c r="E24" s="222"/>
      <c r="F24" s="222"/>
      <c r="G24" s="220">
        <f t="shared" si="7"/>
        <v>0</v>
      </c>
      <c r="H24" s="267">
        <f t="shared" si="7"/>
        <v>0</v>
      </c>
      <c r="I24" s="423"/>
      <c r="J24" s="423"/>
      <c r="K24" s="423"/>
    </row>
    <row r="25" spans="1:11" hidden="1" x14ac:dyDescent="0.2">
      <c r="A25" s="427"/>
      <c r="B25" s="223"/>
      <c r="C25" s="222"/>
      <c r="D25" s="222"/>
      <c r="E25" s="222"/>
      <c r="F25" s="222"/>
      <c r="G25" s="220">
        <f t="shared" si="7"/>
        <v>0</v>
      </c>
      <c r="H25" s="267">
        <f t="shared" si="7"/>
        <v>0</v>
      </c>
      <c r="I25" s="423"/>
      <c r="J25" s="423"/>
      <c r="K25" s="423"/>
    </row>
    <row r="26" spans="1:11" ht="16.5" thickBot="1" x14ac:dyDescent="0.25">
      <c r="A26" s="268">
        <v>16</v>
      </c>
      <c r="B26" s="287" t="s">
        <v>745</v>
      </c>
      <c r="C26" s="269">
        <f>C15+C16</f>
        <v>1836435.31</v>
      </c>
      <c r="D26" s="269">
        <f>D15+D16</f>
        <v>216051.19</v>
      </c>
      <c r="E26" s="269">
        <f>E15+E16</f>
        <v>829337.62</v>
      </c>
      <c r="F26" s="269">
        <f>F15+F16</f>
        <v>97569.12</v>
      </c>
      <c r="G26" s="270">
        <f t="shared" si="0"/>
        <v>2665772.9300000002</v>
      </c>
      <c r="H26" s="271">
        <f t="shared" si="2"/>
        <v>313620.31</v>
      </c>
      <c r="I26" s="425"/>
      <c r="J26" s="423"/>
      <c r="K26" s="423"/>
    </row>
  </sheetData>
  <sheetProtection selectLockedCells="1"/>
  <mergeCells count="7"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3" right="0.74803149606299213" top="0.98425196850393704" bottom="0.88" header="0.51181102362204722" footer="0.51181102362204722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tabColor indexed="42"/>
    <pageSetUpPr fitToPage="1"/>
  </sheetPr>
  <dimension ref="A1:I2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1" sqref="L21"/>
    </sheetView>
  </sheetViews>
  <sheetFormatPr defaultRowHeight="15.75" x14ac:dyDescent="0.25"/>
  <cols>
    <col min="1" max="1" width="9.5703125" style="3" customWidth="1"/>
    <col min="2" max="2" width="58.42578125" style="1" customWidth="1"/>
    <col min="3" max="3" width="22.140625" style="19" customWidth="1"/>
    <col min="4" max="4" width="21.140625" style="19" customWidth="1"/>
    <col min="5" max="5" width="24.140625" style="19" customWidth="1"/>
    <col min="6" max="16384" width="9.140625" style="1"/>
  </cols>
  <sheetData>
    <row r="1" spans="1:9" ht="80.25" customHeight="1" thickBot="1" x14ac:dyDescent="0.3">
      <c r="A1" s="794" t="s">
        <v>770</v>
      </c>
      <c r="B1" s="795"/>
      <c r="C1" s="795"/>
      <c r="D1" s="795"/>
      <c r="E1" s="796"/>
      <c r="F1" s="7"/>
      <c r="G1" s="7"/>
    </row>
    <row r="2" spans="1:9" ht="35.1" customHeight="1" x14ac:dyDescent="0.25">
      <c r="A2" s="647" t="s">
        <v>876</v>
      </c>
      <c r="B2" s="648"/>
      <c r="C2" s="648"/>
      <c r="D2" s="648"/>
      <c r="E2" s="649"/>
      <c r="F2" s="7"/>
      <c r="G2" s="7"/>
    </row>
    <row r="3" spans="1:9" s="10" customFormat="1" ht="46.9" customHeight="1" x14ac:dyDescent="0.25">
      <c r="A3" s="336" t="s">
        <v>133</v>
      </c>
      <c r="B3" s="338" t="s">
        <v>215</v>
      </c>
      <c r="C3" s="338" t="s">
        <v>195</v>
      </c>
      <c r="D3" s="338" t="s">
        <v>196</v>
      </c>
      <c r="E3" s="339" t="s">
        <v>134</v>
      </c>
    </row>
    <row r="4" spans="1:9" s="10" customFormat="1" ht="16.5" customHeight="1" x14ac:dyDescent="0.25">
      <c r="A4" s="336"/>
      <c r="B4" s="338"/>
      <c r="C4" s="338" t="s">
        <v>180</v>
      </c>
      <c r="D4" s="338" t="s">
        <v>181</v>
      </c>
      <c r="E4" s="339" t="s">
        <v>13</v>
      </c>
    </row>
    <row r="5" spans="1:9" s="10" customFormat="1" ht="17.45" customHeight="1" x14ac:dyDescent="0.25">
      <c r="A5" s="336"/>
      <c r="B5" s="167" t="s">
        <v>247</v>
      </c>
      <c r="C5" s="66"/>
      <c r="D5" s="66"/>
      <c r="E5" s="125"/>
    </row>
    <row r="6" spans="1:9" s="10" customFormat="1" ht="17.45" customHeight="1" x14ac:dyDescent="0.25">
      <c r="A6" s="124">
        <v>1</v>
      </c>
      <c r="B6" s="108" t="s">
        <v>275</v>
      </c>
      <c r="C6" s="50">
        <f>SUM(C7:C10)</f>
        <v>2043537</v>
      </c>
      <c r="D6" s="50">
        <f>SUM(D7:D10)</f>
        <v>0</v>
      </c>
      <c r="E6" s="51">
        <f>C6+D6</f>
        <v>2043537</v>
      </c>
    </row>
    <row r="7" spans="1:9" s="19" customFormat="1" x14ac:dyDescent="0.2">
      <c r="A7" s="31">
        <f>A6+1</f>
        <v>2</v>
      </c>
      <c r="B7" s="122" t="s">
        <v>85</v>
      </c>
      <c r="C7" s="52">
        <v>2023537</v>
      </c>
      <c r="D7" s="138"/>
      <c r="E7" s="51">
        <f>C7+D7</f>
        <v>2023537</v>
      </c>
    </row>
    <row r="8" spans="1:9" s="19" customFormat="1" x14ac:dyDescent="0.2">
      <c r="A8" s="31">
        <f>A7+1</f>
        <v>3</v>
      </c>
      <c r="B8" s="122" t="s">
        <v>273</v>
      </c>
      <c r="C8" s="52">
        <v>20000</v>
      </c>
      <c r="D8" s="52"/>
      <c r="E8" s="51">
        <f t="shared" ref="E8:E16" si="0">C8+D8</f>
        <v>20000</v>
      </c>
      <c r="G8" s="341"/>
    </row>
    <row r="9" spans="1:9" s="19" customFormat="1" x14ac:dyDescent="0.2">
      <c r="A9" s="31">
        <f>A8+1</f>
        <v>4</v>
      </c>
      <c r="B9" s="122"/>
      <c r="C9" s="52"/>
      <c r="D9" s="52"/>
      <c r="E9" s="51"/>
    </row>
    <row r="10" spans="1:9" s="19" customFormat="1" x14ac:dyDescent="0.2">
      <c r="A10" s="31">
        <f>A9+1</f>
        <v>5</v>
      </c>
      <c r="B10" s="122"/>
      <c r="C10" s="52"/>
      <c r="D10" s="52"/>
      <c r="E10" s="51">
        <f t="shared" si="0"/>
        <v>0</v>
      </c>
    </row>
    <row r="11" spans="1:9" s="19" customFormat="1" x14ac:dyDescent="0.2">
      <c r="A11" s="42"/>
      <c r="B11" s="167" t="s">
        <v>569</v>
      </c>
      <c r="C11" s="66"/>
      <c r="D11" s="66"/>
      <c r="E11" s="125"/>
    </row>
    <row r="12" spans="1:9" x14ac:dyDescent="0.25">
      <c r="A12" s="42">
        <v>6</v>
      </c>
      <c r="B12" s="122" t="s">
        <v>5</v>
      </c>
      <c r="C12" s="140">
        <v>5618</v>
      </c>
      <c r="D12" s="140"/>
      <c r="E12" s="51">
        <f t="shared" si="0"/>
        <v>5618</v>
      </c>
    </row>
    <row r="13" spans="1:9" x14ac:dyDescent="0.25">
      <c r="A13" s="42">
        <v>7</v>
      </c>
      <c r="B13" s="122" t="s">
        <v>6</v>
      </c>
      <c r="C13" s="52"/>
      <c r="D13" s="52"/>
      <c r="E13" s="51">
        <f t="shared" si="0"/>
        <v>0</v>
      </c>
    </row>
    <row r="14" spans="1:9" s="44" customFormat="1" x14ac:dyDescent="0.25">
      <c r="A14" s="42"/>
      <c r="B14" s="80"/>
      <c r="C14" s="157"/>
      <c r="D14" s="157"/>
      <c r="E14" s="125"/>
    </row>
    <row r="15" spans="1:9" x14ac:dyDescent="0.25">
      <c r="A15" s="42">
        <v>8</v>
      </c>
      <c r="B15" s="80" t="s">
        <v>276</v>
      </c>
      <c r="C15" s="141">
        <f>SUM(C16:C17)</f>
        <v>0</v>
      </c>
      <c r="D15" s="141">
        <f>SUM(D16:D17)</f>
        <v>0</v>
      </c>
      <c r="E15" s="51">
        <f t="shared" si="0"/>
        <v>0</v>
      </c>
    </row>
    <row r="16" spans="1:9" ht="31.5" x14ac:dyDescent="0.25">
      <c r="A16" s="42" t="s">
        <v>274</v>
      </c>
      <c r="B16" s="320" t="s">
        <v>628</v>
      </c>
      <c r="C16" s="140"/>
      <c r="D16" s="140"/>
      <c r="E16" s="51">
        <f t="shared" si="0"/>
        <v>0</v>
      </c>
      <c r="I16" s="340"/>
    </row>
    <row r="17" spans="1:5" x14ac:dyDescent="0.25">
      <c r="A17" s="42"/>
      <c r="B17" s="80"/>
      <c r="C17" s="157"/>
      <c r="D17" s="157"/>
      <c r="E17" s="125"/>
    </row>
    <row r="18" spans="1:5" ht="16.5" thickBot="1" x14ac:dyDescent="0.3">
      <c r="A18" s="128">
        <v>9</v>
      </c>
      <c r="B18" s="129" t="s">
        <v>553</v>
      </c>
      <c r="C18" s="62">
        <f>C6+C12+C13+C15</f>
        <v>2049155</v>
      </c>
      <c r="D18" s="62">
        <f>D6+D12+D13+D15</f>
        <v>0</v>
      </c>
      <c r="E18" s="139">
        <f>E6+E12+E13+E15</f>
        <v>2049155</v>
      </c>
    </row>
    <row r="19" spans="1:5" x14ac:dyDescent="0.25">
      <c r="E19" s="22"/>
    </row>
    <row r="21" spans="1:5" x14ac:dyDescent="0.25">
      <c r="B21" s="213"/>
      <c r="C21" s="3"/>
    </row>
    <row r="22" spans="1:5" x14ac:dyDescent="0.25">
      <c r="B22" s="3"/>
      <c r="C22" s="3"/>
    </row>
    <row r="23" spans="1:5" x14ac:dyDescent="0.25">
      <c r="B23" s="3"/>
      <c r="C23" s="3"/>
    </row>
    <row r="24" spans="1:5" x14ac:dyDescent="0.25">
      <c r="D24" s="341"/>
    </row>
  </sheetData>
  <protectedRanges>
    <protectedRange sqref="C8:D10" name="Rozsah2_1"/>
    <protectedRange sqref="C11:D11" name="Rozsah2_2"/>
  </protectedRanges>
  <mergeCells count="2">
    <mergeCell ref="A1:E1"/>
    <mergeCell ref="A2:E2"/>
  </mergeCells>
  <phoneticPr fontId="5" type="noConversion"/>
  <pageMargins left="0.79" right="0.74803149606299213" top="0.98425196850393704" bottom="0.77" header="0.51181102362204722" footer="0.51181102362204722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6" sqref="G16"/>
    </sheetView>
  </sheetViews>
  <sheetFormatPr defaultRowHeight="15.75" x14ac:dyDescent="0.2"/>
  <cols>
    <col min="1" max="1" width="9.140625" style="19"/>
    <col min="2" max="2" width="75.42578125" style="71" customWidth="1"/>
    <col min="3" max="6" width="17.28515625" style="19" customWidth="1"/>
    <col min="7" max="7" width="66.42578125" style="19" customWidth="1"/>
    <col min="8" max="16384" width="9.140625" style="19"/>
  </cols>
  <sheetData>
    <row r="1" spans="1:18" ht="35.1" customHeight="1" thickBot="1" x14ac:dyDescent="0.25">
      <c r="A1" s="626" t="s">
        <v>771</v>
      </c>
      <c r="B1" s="804"/>
      <c r="C1" s="804"/>
      <c r="D1" s="804"/>
      <c r="E1" s="804"/>
      <c r="F1" s="805"/>
    </row>
    <row r="2" spans="1:18" ht="35.1" customHeight="1" x14ac:dyDescent="0.2">
      <c r="A2" s="629" t="s">
        <v>876</v>
      </c>
      <c r="B2" s="726"/>
      <c r="C2" s="727" t="s">
        <v>648</v>
      </c>
      <c r="D2" s="727"/>
      <c r="E2" s="727"/>
      <c r="F2" s="728"/>
    </row>
    <row r="3" spans="1:18" ht="22.9" customHeight="1" x14ac:dyDescent="0.2">
      <c r="A3" s="650" t="s">
        <v>133</v>
      </c>
      <c r="B3" s="687" t="s">
        <v>215</v>
      </c>
      <c r="C3" s="683">
        <v>2017</v>
      </c>
      <c r="D3" s="683"/>
      <c r="E3" s="683">
        <v>2018</v>
      </c>
      <c r="F3" s="736"/>
    </row>
    <row r="4" spans="1:18" ht="75" customHeight="1" x14ac:dyDescent="0.2">
      <c r="A4" s="650"/>
      <c r="B4" s="687"/>
      <c r="C4" s="430" t="s">
        <v>18</v>
      </c>
      <c r="D4" s="430" t="s">
        <v>127</v>
      </c>
      <c r="E4" s="430" t="s">
        <v>18</v>
      </c>
      <c r="F4" s="431" t="s">
        <v>128</v>
      </c>
    </row>
    <row r="5" spans="1:18" x14ac:dyDescent="0.2">
      <c r="A5" s="31"/>
      <c r="B5" s="97"/>
      <c r="C5" s="40" t="s">
        <v>180</v>
      </c>
      <c r="D5" s="40" t="s">
        <v>181</v>
      </c>
      <c r="E5" s="40" t="s">
        <v>182</v>
      </c>
      <c r="F5" s="41" t="s">
        <v>188</v>
      </c>
    </row>
    <row r="6" spans="1:18" ht="31.5" x14ac:dyDescent="0.2">
      <c r="A6" s="31">
        <v>1</v>
      </c>
      <c r="B6" s="63" t="s">
        <v>815</v>
      </c>
      <c r="C6" s="504">
        <f t="shared" ref="C6:F6" si="0">C7+C10+C16+C19+C13+C22</f>
        <v>48274.22</v>
      </c>
      <c r="D6" s="123">
        <f t="shared" si="0"/>
        <v>396</v>
      </c>
      <c r="E6" s="504">
        <f t="shared" si="0"/>
        <v>41957.840000000004</v>
      </c>
      <c r="F6" s="440">
        <f t="shared" si="0"/>
        <v>391</v>
      </c>
      <c r="G6" s="366"/>
      <c r="H6" s="585"/>
    </row>
    <row r="7" spans="1:18" x14ac:dyDescent="0.2">
      <c r="A7" s="31">
        <v>2</v>
      </c>
      <c r="B7" s="63" t="s">
        <v>70</v>
      </c>
      <c r="C7" s="504">
        <f>SUM(C8:C9)</f>
        <v>3079.97</v>
      </c>
      <c r="D7" s="123">
        <f t="shared" ref="D7:F7" si="1">SUM(D8:D9)</f>
        <v>28</v>
      </c>
      <c r="E7" s="504">
        <f t="shared" si="1"/>
        <v>6093</v>
      </c>
      <c r="F7" s="440">
        <f t="shared" si="1"/>
        <v>42</v>
      </c>
      <c r="G7" s="619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x14ac:dyDescent="0.25">
      <c r="A8" s="31">
        <v>3</v>
      </c>
      <c r="B8" s="27" t="s">
        <v>21</v>
      </c>
      <c r="C8" s="514">
        <v>3079.97</v>
      </c>
      <c r="D8" s="143">
        <v>28</v>
      </c>
      <c r="E8" s="514">
        <v>6093</v>
      </c>
      <c r="F8" s="158">
        <v>42</v>
      </c>
      <c r="G8" s="620"/>
    </row>
    <row r="9" spans="1:18" ht="18.75" x14ac:dyDescent="0.2">
      <c r="A9" s="31">
        <v>4</v>
      </c>
      <c r="B9" s="27" t="s">
        <v>88</v>
      </c>
      <c r="C9" s="514"/>
      <c r="D9" s="143"/>
      <c r="E9" s="514"/>
      <c r="F9" s="158"/>
      <c r="G9" s="366"/>
    </row>
    <row r="10" spans="1:18" ht="21" customHeight="1" x14ac:dyDescent="0.2">
      <c r="A10" s="31">
        <v>5</v>
      </c>
      <c r="B10" s="63" t="s">
        <v>660</v>
      </c>
      <c r="C10" s="504">
        <f>SUM(C11:C12)</f>
        <v>12060</v>
      </c>
      <c r="D10" s="123">
        <f t="shared" ref="D10:F10" si="2">SUM(D11:D12)</f>
        <v>123</v>
      </c>
      <c r="E10" s="504">
        <f t="shared" si="2"/>
        <v>14120</v>
      </c>
      <c r="F10" s="440">
        <f t="shared" si="2"/>
        <v>79</v>
      </c>
      <c r="G10" s="366"/>
    </row>
    <row r="11" spans="1:18" x14ac:dyDescent="0.2">
      <c r="A11" s="31">
        <v>6</v>
      </c>
      <c r="B11" s="27" t="s">
        <v>21</v>
      </c>
      <c r="C11" s="514">
        <v>6379.5</v>
      </c>
      <c r="D11" s="143">
        <v>109</v>
      </c>
      <c r="E11" s="514">
        <v>14120</v>
      </c>
      <c r="F11" s="158">
        <v>79</v>
      </c>
      <c r="G11" s="366"/>
    </row>
    <row r="12" spans="1:18" ht="18.75" x14ac:dyDescent="0.2">
      <c r="A12" s="31">
        <v>7</v>
      </c>
      <c r="B12" s="27" t="s">
        <v>88</v>
      </c>
      <c r="C12" s="514">
        <v>5680.5</v>
      </c>
      <c r="D12" s="143">
        <v>14</v>
      </c>
      <c r="E12" s="514"/>
      <c r="F12" s="158"/>
      <c r="G12" s="366"/>
    </row>
    <row r="13" spans="1:18" x14ac:dyDescent="0.2">
      <c r="A13" s="31">
        <v>8</v>
      </c>
      <c r="B13" s="337" t="s">
        <v>661</v>
      </c>
      <c r="C13" s="504">
        <f>C14+C15</f>
        <v>30964.25</v>
      </c>
      <c r="D13" s="123">
        <f t="shared" ref="D13:F13" si="3">D14+D15</f>
        <v>230</v>
      </c>
      <c r="E13" s="504">
        <f t="shared" si="3"/>
        <v>14608.87</v>
      </c>
      <c r="F13" s="440">
        <f t="shared" si="3"/>
        <v>174</v>
      </c>
      <c r="G13" s="366"/>
    </row>
    <row r="14" spans="1:18" x14ac:dyDescent="0.2">
      <c r="A14" s="31">
        <v>9</v>
      </c>
      <c r="B14" s="27" t="s">
        <v>21</v>
      </c>
      <c r="C14" s="514">
        <v>30964.25</v>
      </c>
      <c r="D14" s="143">
        <v>230</v>
      </c>
      <c r="E14" s="514">
        <v>14608.87</v>
      </c>
      <c r="F14" s="158">
        <v>174</v>
      </c>
      <c r="G14" s="366"/>
    </row>
    <row r="15" spans="1:18" ht="18.75" x14ac:dyDescent="0.2">
      <c r="A15" s="31">
        <v>10</v>
      </c>
      <c r="B15" s="27" t="s">
        <v>696</v>
      </c>
      <c r="C15" s="514"/>
      <c r="D15" s="143"/>
      <c r="E15" s="514"/>
      <c r="F15" s="158"/>
      <c r="G15" s="366"/>
    </row>
    <row r="16" spans="1:18" x14ac:dyDescent="0.2">
      <c r="A16" s="31">
        <v>11</v>
      </c>
      <c r="B16" s="63" t="s">
        <v>662</v>
      </c>
      <c r="C16" s="504">
        <f>SUM(C17:C18)</f>
        <v>1870</v>
      </c>
      <c r="D16" s="123">
        <f t="shared" ref="D16:F16" si="4">SUM(D17:D18)</f>
        <v>14</v>
      </c>
      <c r="E16" s="504">
        <f t="shared" si="4"/>
        <v>2576</v>
      </c>
      <c r="F16" s="440">
        <f t="shared" si="4"/>
        <v>32</v>
      </c>
    </row>
    <row r="17" spans="1:6" x14ac:dyDescent="0.2">
      <c r="A17" s="31">
        <v>12</v>
      </c>
      <c r="B17" s="27" t="s">
        <v>21</v>
      </c>
      <c r="C17" s="514">
        <v>1870</v>
      </c>
      <c r="D17" s="143">
        <v>14</v>
      </c>
      <c r="E17" s="514">
        <v>2576</v>
      </c>
      <c r="F17" s="158">
        <v>32</v>
      </c>
    </row>
    <row r="18" spans="1:6" ht="18.75" x14ac:dyDescent="0.2">
      <c r="A18" s="31">
        <v>13</v>
      </c>
      <c r="B18" s="27" t="s">
        <v>88</v>
      </c>
      <c r="C18" s="514"/>
      <c r="D18" s="143"/>
      <c r="E18" s="514"/>
      <c r="F18" s="158"/>
    </row>
    <row r="19" spans="1:6" x14ac:dyDescent="0.2">
      <c r="A19" s="31">
        <v>14</v>
      </c>
      <c r="B19" s="63" t="s">
        <v>663</v>
      </c>
      <c r="C19" s="504">
        <f>SUM(C20:C21)</f>
        <v>300</v>
      </c>
      <c r="D19" s="123">
        <f t="shared" ref="D19:F19" si="5">SUM(D20:D21)</f>
        <v>1</v>
      </c>
      <c r="E19" s="504">
        <f t="shared" si="5"/>
        <v>600</v>
      </c>
      <c r="F19" s="440">
        <f t="shared" si="5"/>
        <v>2</v>
      </c>
    </row>
    <row r="20" spans="1:6" x14ac:dyDescent="0.2">
      <c r="A20" s="31">
        <v>15</v>
      </c>
      <c r="B20" s="27" t="s">
        <v>21</v>
      </c>
      <c r="C20" s="514">
        <v>300</v>
      </c>
      <c r="D20" s="143">
        <v>1</v>
      </c>
      <c r="E20" s="514">
        <v>600</v>
      </c>
      <c r="F20" s="158">
        <v>2</v>
      </c>
    </row>
    <row r="21" spans="1:6" ht="18.75" x14ac:dyDescent="0.2">
      <c r="A21" s="31">
        <v>16</v>
      </c>
      <c r="B21" s="115" t="s">
        <v>88</v>
      </c>
      <c r="C21" s="159"/>
      <c r="D21" s="159"/>
      <c r="E21" s="571"/>
      <c r="F21" s="160"/>
    </row>
    <row r="22" spans="1:6" x14ac:dyDescent="0.2">
      <c r="A22" s="428">
        <v>17</v>
      </c>
      <c r="B22" s="437" t="s">
        <v>787</v>
      </c>
      <c r="C22" s="123">
        <f>C23+C24</f>
        <v>0</v>
      </c>
      <c r="D22" s="123">
        <f t="shared" ref="D22:F22" si="6">D23+D24</f>
        <v>0</v>
      </c>
      <c r="E22" s="504">
        <f t="shared" si="6"/>
        <v>3959.97</v>
      </c>
      <c r="F22" s="440">
        <f t="shared" si="6"/>
        <v>62</v>
      </c>
    </row>
    <row r="23" spans="1:6" x14ac:dyDescent="0.2">
      <c r="A23" s="428">
        <v>18</v>
      </c>
      <c r="B23" s="438" t="s">
        <v>21</v>
      </c>
      <c r="C23" s="159"/>
      <c r="D23" s="159"/>
      <c r="E23" s="571">
        <v>3959.97</v>
      </c>
      <c r="F23" s="160">
        <v>62</v>
      </c>
    </row>
    <row r="24" spans="1:6" ht="18.75" x14ac:dyDescent="0.2">
      <c r="A24" s="428">
        <v>19</v>
      </c>
      <c r="B24" s="439" t="s">
        <v>786</v>
      </c>
      <c r="C24" s="159"/>
      <c r="D24" s="159"/>
      <c r="E24" s="159"/>
      <c r="F24" s="160"/>
    </row>
    <row r="25" spans="1:6" ht="19.5" thickBot="1" x14ac:dyDescent="0.25">
      <c r="A25" s="32">
        <v>20</v>
      </c>
      <c r="B25" s="116" t="s">
        <v>597</v>
      </c>
      <c r="C25" s="161" t="s">
        <v>202</v>
      </c>
      <c r="D25" s="162">
        <v>396</v>
      </c>
      <c r="E25" s="161" t="s">
        <v>202</v>
      </c>
      <c r="F25" s="163">
        <v>388</v>
      </c>
    </row>
    <row r="26" spans="1:6" s="117" customFormat="1" x14ac:dyDescent="0.2">
      <c r="A26" s="351"/>
      <c r="B26" s="352"/>
      <c r="C26" s="353"/>
      <c r="D26" s="354"/>
      <c r="E26" s="353"/>
      <c r="F26" s="354"/>
    </row>
    <row r="27" spans="1:6" x14ac:dyDescent="0.2">
      <c r="A27" s="798" t="s">
        <v>560</v>
      </c>
      <c r="B27" s="799"/>
      <c r="C27" s="799"/>
      <c r="D27" s="799"/>
      <c r="E27" s="799"/>
      <c r="F27" s="800"/>
    </row>
    <row r="28" spans="1:6" x14ac:dyDescent="0.2">
      <c r="A28" s="801" t="s">
        <v>561</v>
      </c>
      <c r="B28" s="802"/>
      <c r="C28" s="802"/>
      <c r="D28" s="802"/>
      <c r="E28" s="802"/>
      <c r="F28" s="803"/>
    </row>
    <row r="29" spans="1:6" x14ac:dyDescent="0.2">
      <c r="A29" s="797" t="s">
        <v>658</v>
      </c>
      <c r="B29" s="797"/>
      <c r="C29" s="797"/>
      <c r="D29" s="797"/>
      <c r="E29" s="797"/>
      <c r="F29" s="797"/>
    </row>
  </sheetData>
  <mergeCells count="10">
    <mergeCell ref="C2:F2"/>
    <mergeCell ref="A29:F29"/>
    <mergeCell ref="A27:F27"/>
    <mergeCell ref="A28:F28"/>
    <mergeCell ref="A1:F1"/>
    <mergeCell ref="A3:A4"/>
    <mergeCell ref="B3:B4"/>
    <mergeCell ref="C3:D3"/>
    <mergeCell ref="E3:F3"/>
    <mergeCell ref="A2:B2"/>
  </mergeCells>
  <pageMargins left="0.74803149606299213" right="0.5600000000000000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1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L16" sqref="L16"/>
    </sheetView>
  </sheetViews>
  <sheetFormatPr defaultRowHeight="18.75" x14ac:dyDescent="0.25"/>
  <cols>
    <col min="1" max="1" width="9.140625" style="238"/>
    <col min="2" max="2" width="67" style="262" customWidth="1"/>
    <col min="3" max="3" width="20.28515625" style="291" customWidth="1"/>
    <col min="4" max="4" width="23.5703125" style="291" customWidth="1"/>
    <col min="5" max="5" width="22.140625" style="291" customWidth="1"/>
    <col min="6" max="6" width="23.85546875" style="238" customWidth="1"/>
    <col min="7" max="7" width="16.140625" style="238" customWidth="1"/>
    <col min="8" max="16384" width="9.140625" style="238"/>
  </cols>
  <sheetData>
    <row r="1" spans="1:8" ht="50.1" customHeight="1" thickBot="1" x14ac:dyDescent="0.3">
      <c r="A1" s="745" t="s">
        <v>772</v>
      </c>
      <c r="B1" s="806"/>
      <c r="C1" s="806"/>
      <c r="D1" s="807"/>
      <c r="E1" s="807"/>
      <c r="F1" s="808"/>
    </row>
    <row r="2" spans="1:8" ht="35.1" customHeight="1" thickBot="1" x14ac:dyDescent="0.3">
      <c r="A2" s="809" t="s">
        <v>876</v>
      </c>
      <c r="B2" s="810"/>
      <c r="C2" s="810"/>
      <c r="D2" s="811"/>
      <c r="E2" s="811"/>
      <c r="F2" s="812"/>
    </row>
    <row r="3" spans="1:8" ht="33" customHeight="1" x14ac:dyDescent="0.25">
      <c r="A3" s="650" t="s">
        <v>133</v>
      </c>
      <c r="B3" s="816" t="s">
        <v>215</v>
      </c>
      <c r="C3" s="813">
        <v>2017</v>
      </c>
      <c r="D3" s="813"/>
      <c r="E3" s="813">
        <v>2018</v>
      </c>
      <c r="F3" s="814"/>
    </row>
    <row r="4" spans="1:8" ht="71.25" customHeight="1" x14ac:dyDescent="0.25">
      <c r="A4" s="650"/>
      <c r="B4" s="817"/>
      <c r="C4" s="385" t="s">
        <v>690</v>
      </c>
      <c r="D4" s="385" t="s">
        <v>691</v>
      </c>
      <c r="E4" s="385" t="s">
        <v>690</v>
      </c>
      <c r="F4" s="388" t="s">
        <v>691</v>
      </c>
    </row>
    <row r="5" spans="1:8" ht="18.75" customHeight="1" x14ac:dyDescent="0.25">
      <c r="A5" s="240"/>
      <c r="B5" s="241"/>
      <c r="C5" s="242" t="s">
        <v>180</v>
      </c>
      <c r="D5" s="242" t="s">
        <v>181</v>
      </c>
      <c r="E5" s="386" t="s">
        <v>182</v>
      </c>
      <c r="F5" s="389" t="s">
        <v>188</v>
      </c>
    </row>
    <row r="6" spans="1:8" s="288" customFormat="1" ht="34.5" customHeight="1" x14ac:dyDescent="0.2">
      <c r="A6" s="247">
        <v>1</v>
      </c>
      <c r="B6" s="387" t="s">
        <v>602</v>
      </c>
      <c r="C6" s="250"/>
      <c r="D6" s="250">
        <v>3</v>
      </c>
      <c r="E6" s="249">
        <f>C9</f>
        <v>0</v>
      </c>
      <c r="F6" s="390">
        <f>D9</f>
        <v>44</v>
      </c>
      <c r="G6" s="357"/>
      <c r="H6" s="358"/>
    </row>
    <row r="7" spans="1:8" ht="36" customHeight="1" x14ac:dyDescent="0.25">
      <c r="A7" s="247">
        <v>2</v>
      </c>
      <c r="B7" s="387" t="s">
        <v>684</v>
      </c>
      <c r="C7" s="250">
        <v>66300</v>
      </c>
      <c r="D7" s="250">
        <v>272451</v>
      </c>
      <c r="E7" s="250">
        <v>96825</v>
      </c>
      <c r="F7" s="391">
        <v>318700</v>
      </c>
    </row>
    <row r="8" spans="1:8" ht="35.25" customHeight="1" x14ac:dyDescent="0.25">
      <c r="A8" s="247">
        <v>3</v>
      </c>
      <c r="B8" s="387" t="s">
        <v>603</v>
      </c>
      <c r="C8" s="250">
        <v>66300</v>
      </c>
      <c r="D8" s="250">
        <v>272410</v>
      </c>
      <c r="E8" s="250">
        <v>96825</v>
      </c>
      <c r="F8" s="391">
        <v>318710</v>
      </c>
    </row>
    <row r="9" spans="1:8" ht="39.75" customHeight="1" x14ac:dyDescent="0.25">
      <c r="A9" s="247">
        <v>4</v>
      </c>
      <c r="B9" s="387" t="s">
        <v>685</v>
      </c>
      <c r="C9" s="249">
        <f>C6+C7-C8</f>
        <v>0</v>
      </c>
      <c r="D9" s="249">
        <f>D6+D7-D8</f>
        <v>44</v>
      </c>
      <c r="E9" s="249">
        <f>E6+E7-E8</f>
        <v>0</v>
      </c>
      <c r="F9" s="390">
        <f>F6+F7-F8</f>
        <v>34</v>
      </c>
    </row>
    <row r="10" spans="1:8" ht="36" customHeight="1" thickBot="1" x14ac:dyDescent="0.3">
      <c r="A10" s="392">
        <v>5</v>
      </c>
      <c r="B10" s="393" t="s">
        <v>686</v>
      </c>
      <c r="C10" s="394">
        <v>97</v>
      </c>
      <c r="D10" s="394">
        <v>745</v>
      </c>
      <c r="E10" s="394">
        <v>183</v>
      </c>
      <c r="F10" s="395">
        <v>800</v>
      </c>
    </row>
    <row r="11" spans="1:8" ht="21" customHeight="1" x14ac:dyDescent="0.25">
      <c r="A11" s="289"/>
      <c r="B11" s="290"/>
      <c r="C11" s="238"/>
      <c r="D11" s="238"/>
      <c r="E11" s="238"/>
      <c r="G11" s="288"/>
    </row>
    <row r="12" spans="1:8" ht="21" customHeight="1" x14ac:dyDescent="0.25">
      <c r="A12" s="815" t="s">
        <v>687</v>
      </c>
      <c r="B12" s="815"/>
      <c r="C12" s="815"/>
      <c r="D12" s="815"/>
      <c r="E12" s="815"/>
      <c r="F12" s="815"/>
    </row>
    <row r="13" spans="1:8" ht="18" x14ac:dyDescent="0.25">
      <c r="A13" s="359" t="s">
        <v>688</v>
      </c>
      <c r="B13" s="360"/>
      <c r="C13" s="355"/>
      <c r="D13" s="355"/>
      <c r="E13" s="355"/>
      <c r="F13" s="356"/>
    </row>
    <row r="14" spans="1:8" ht="18" x14ac:dyDescent="0.25">
      <c r="A14" s="359" t="s">
        <v>689</v>
      </c>
      <c r="B14" s="360"/>
      <c r="C14" s="355"/>
      <c r="D14" s="355"/>
      <c r="E14" s="355"/>
      <c r="F14" s="356"/>
    </row>
    <row r="16" spans="1:8" x14ac:dyDescent="0.25">
      <c r="C16" s="291" t="s">
        <v>97</v>
      </c>
    </row>
  </sheetData>
  <mergeCells count="7">
    <mergeCell ref="A1:F1"/>
    <mergeCell ref="A2:F2"/>
    <mergeCell ref="E3:F3"/>
    <mergeCell ref="A12:F12"/>
    <mergeCell ref="C3:D3"/>
    <mergeCell ref="B3:B4"/>
    <mergeCell ref="A3:A4"/>
  </mergeCells>
  <printOptions horizontalCentered="1"/>
  <pageMargins left="0.6692913385826772" right="0.62992125984251968" top="0.98425196850393704" bottom="0.7480314960629921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>
    <tabColor indexed="42"/>
    <pageSetUpPr fitToPage="1"/>
  </sheetPr>
  <dimension ref="A1:G37"/>
  <sheetViews>
    <sheetView zoomScaleNormal="10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F35" sqref="F35"/>
    </sheetView>
  </sheetViews>
  <sheetFormatPr defaultRowHeight="15.75" x14ac:dyDescent="0.25"/>
  <cols>
    <col min="1" max="1" width="10.140625" style="3" customWidth="1"/>
    <col min="2" max="2" width="83" style="57" customWidth="1"/>
    <col min="3" max="3" width="15.42578125" style="1" customWidth="1"/>
    <col min="4" max="4" width="14.28515625" style="1" customWidth="1"/>
    <col min="5" max="5" width="14.7109375" style="1" customWidth="1"/>
    <col min="6" max="16384" width="9.140625" style="1"/>
  </cols>
  <sheetData>
    <row r="1" spans="1:7" ht="50.1" customHeight="1" thickBot="1" x14ac:dyDescent="0.3">
      <c r="A1" s="632" t="s">
        <v>750</v>
      </c>
      <c r="B1" s="633"/>
      <c r="C1" s="633"/>
      <c r="D1" s="633"/>
      <c r="E1" s="634"/>
      <c r="F1" s="7"/>
      <c r="G1" s="7"/>
    </row>
    <row r="2" spans="1:7" s="18" customFormat="1" ht="38.25" customHeight="1" x14ac:dyDescent="0.2">
      <c r="A2" s="635" t="s">
        <v>873</v>
      </c>
      <c r="B2" s="636"/>
      <c r="C2" s="636"/>
      <c r="D2" s="636"/>
      <c r="E2" s="637"/>
    </row>
    <row r="3" spans="1:7" s="10" customFormat="1" ht="35.25" customHeight="1" x14ac:dyDescent="0.25">
      <c r="A3" s="336" t="s">
        <v>133</v>
      </c>
      <c r="B3" s="342" t="s">
        <v>215</v>
      </c>
      <c r="C3" s="338" t="s">
        <v>195</v>
      </c>
      <c r="D3" s="338" t="s">
        <v>196</v>
      </c>
      <c r="E3" s="35" t="s">
        <v>137</v>
      </c>
    </row>
    <row r="4" spans="1:7" s="19" customFormat="1" ht="17.25" customHeight="1" x14ac:dyDescent="0.2">
      <c r="A4" s="31"/>
      <c r="B4" s="337"/>
      <c r="C4" s="37" t="s">
        <v>180</v>
      </c>
      <c r="D4" s="37" t="s">
        <v>181</v>
      </c>
      <c r="E4" s="38" t="s">
        <v>13</v>
      </c>
    </row>
    <row r="5" spans="1:7" ht="31.5" x14ac:dyDescent="0.25">
      <c r="A5" s="33">
        <v>1</v>
      </c>
      <c r="B5" s="54" t="s">
        <v>591</v>
      </c>
      <c r="C5" s="61">
        <f>SUM(C6:C9)</f>
        <v>1138296</v>
      </c>
      <c r="D5" s="61">
        <f>SUM(D6:D7)</f>
        <v>0</v>
      </c>
      <c r="E5" s="136">
        <f>C5+D5</f>
        <v>1138296</v>
      </c>
    </row>
    <row r="6" spans="1:7" x14ac:dyDescent="0.25">
      <c r="A6" s="33" t="s">
        <v>206</v>
      </c>
      <c r="B6" s="55" t="s">
        <v>821</v>
      </c>
      <c r="C6" s="52">
        <v>842300</v>
      </c>
      <c r="D6" s="52"/>
      <c r="E6" s="136">
        <f t="shared" ref="E6:E35" si="0">C6+D6</f>
        <v>842300</v>
      </c>
    </row>
    <row r="7" spans="1:7" x14ac:dyDescent="0.25">
      <c r="A7" s="33" t="s">
        <v>263</v>
      </c>
      <c r="B7" s="55" t="s">
        <v>822</v>
      </c>
      <c r="C7" s="52">
        <v>278996</v>
      </c>
      <c r="D7" s="52"/>
      <c r="E7" s="136">
        <f t="shared" si="0"/>
        <v>278996</v>
      </c>
    </row>
    <row r="8" spans="1:7" x14ac:dyDescent="0.25">
      <c r="A8" s="33" t="s">
        <v>823</v>
      </c>
      <c r="B8" s="55" t="s">
        <v>850</v>
      </c>
      <c r="C8" s="52">
        <v>7000</v>
      </c>
      <c r="D8" s="52"/>
      <c r="E8" s="136">
        <f t="shared" si="0"/>
        <v>7000</v>
      </c>
    </row>
    <row r="9" spans="1:7" x14ac:dyDescent="0.25">
      <c r="A9" s="33" t="s">
        <v>849</v>
      </c>
      <c r="B9" s="55" t="s">
        <v>851</v>
      </c>
      <c r="C9" s="52">
        <v>10000</v>
      </c>
      <c r="D9" s="52"/>
      <c r="E9" s="136">
        <f t="shared" si="0"/>
        <v>10000</v>
      </c>
    </row>
    <row r="10" spans="1:7" x14ac:dyDescent="0.25">
      <c r="A10" s="33"/>
      <c r="B10" s="55"/>
      <c r="C10" s="52"/>
      <c r="D10" s="52"/>
      <c r="E10" s="136"/>
    </row>
    <row r="11" spans="1:7" x14ac:dyDescent="0.25">
      <c r="A11" s="33">
        <v>2</v>
      </c>
      <c r="B11" s="54" t="s">
        <v>35</v>
      </c>
      <c r="C11" s="61">
        <f>SUM(C12:C13)</f>
        <v>1700</v>
      </c>
      <c r="D11" s="61">
        <f>SUM(D12:D13)</f>
        <v>0</v>
      </c>
      <c r="E11" s="136">
        <f t="shared" si="0"/>
        <v>1700</v>
      </c>
    </row>
    <row r="12" spans="1:7" x14ac:dyDescent="0.25">
      <c r="A12" s="33" t="s">
        <v>207</v>
      </c>
      <c r="B12" s="55" t="s">
        <v>824</v>
      </c>
      <c r="C12" s="52">
        <v>1700</v>
      </c>
      <c r="D12" s="52"/>
      <c r="E12" s="136">
        <f t="shared" si="0"/>
        <v>1700</v>
      </c>
    </row>
    <row r="13" spans="1:7" x14ac:dyDescent="0.25">
      <c r="A13" s="33" t="s">
        <v>264</v>
      </c>
      <c r="B13" s="55"/>
      <c r="C13" s="52"/>
      <c r="D13" s="52"/>
      <c r="E13" s="136">
        <f t="shared" si="0"/>
        <v>0</v>
      </c>
    </row>
    <row r="14" spans="1:7" x14ac:dyDescent="0.25">
      <c r="A14" s="33"/>
      <c r="B14" s="55"/>
      <c r="C14" s="52"/>
      <c r="D14" s="52"/>
      <c r="E14" s="136"/>
    </row>
    <row r="15" spans="1:7" x14ac:dyDescent="0.25">
      <c r="A15" s="33">
        <v>3</v>
      </c>
      <c r="B15" s="54" t="s">
        <v>162</v>
      </c>
      <c r="C15" s="61">
        <f>SUM(C16:C22)</f>
        <v>43585.240000000005</v>
      </c>
      <c r="D15" s="61">
        <f>SUM(D16:D17)</f>
        <v>0</v>
      </c>
      <c r="E15" s="136">
        <f t="shared" si="0"/>
        <v>43585.240000000005</v>
      </c>
    </row>
    <row r="16" spans="1:7" x14ac:dyDescent="0.25">
      <c r="A16" s="33" t="s">
        <v>208</v>
      </c>
      <c r="B16" s="135" t="s">
        <v>825</v>
      </c>
      <c r="C16" s="52">
        <v>10500</v>
      </c>
      <c r="D16" s="52"/>
      <c r="E16" s="136">
        <f t="shared" si="0"/>
        <v>10500</v>
      </c>
    </row>
    <row r="17" spans="1:5" x14ac:dyDescent="0.25">
      <c r="A17" s="33" t="s">
        <v>265</v>
      </c>
      <c r="B17" s="135" t="s">
        <v>826</v>
      </c>
      <c r="C17" s="52">
        <v>20869.310000000001</v>
      </c>
      <c r="D17" s="52"/>
      <c r="E17" s="136">
        <f t="shared" si="0"/>
        <v>20869.310000000001</v>
      </c>
    </row>
    <row r="18" spans="1:5" x14ac:dyDescent="0.25">
      <c r="A18" s="33" t="s">
        <v>827</v>
      </c>
      <c r="B18" s="135" t="s">
        <v>828</v>
      </c>
      <c r="C18" s="52">
        <v>7071.93</v>
      </c>
      <c r="D18" s="52"/>
      <c r="E18" s="136">
        <f t="shared" si="0"/>
        <v>7071.93</v>
      </c>
    </row>
    <row r="19" spans="1:5" x14ac:dyDescent="0.25">
      <c r="A19" s="33" t="s">
        <v>829</v>
      </c>
      <c r="B19" s="135" t="s">
        <v>830</v>
      </c>
      <c r="C19" s="52">
        <v>2500</v>
      </c>
      <c r="D19" s="52"/>
      <c r="E19" s="136">
        <f t="shared" si="0"/>
        <v>2500</v>
      </c>
    </row>
    <row r="20" spans="1:5" x14ac:dyDescent="0.25">
      <c r="A20" s="33" t="s">
        <v>831</v>
      </c>
      <c r="B20" s="55" t="s">
        <v>832</v>
      </c>
      <c r="C20" s="52">
        <v>200</v>
      </c>
      <c r="D20" s="52"/>
      <c r="E20" s="136">
        <f t="shared" si="0"/>
        <v>200</v>
      </c>
    </row>
    <row r="21" spans="1:5" x14ac:dyDescent="0.25">
      <c r="A21" s="33" t="s">
        <v>852</v>
      </c>
      <c r="B21" s="55" t="s">
        <v>854</v>
      </c>
      <c r="C21" s="52">
        <v>998.76</v>
      </c>
      <c r="D21" s="52"/>
      <c r="E21" s="136">
        <f t="shared" si="0"/>
        <v>998.76</v>
      </c>
    </row>
    <row r="22" spans="1:5" x14ac:dyDescent="0.25">
      <c r="A22" s="33" t="s">
        <v>853</v>
      </c>
      <c r="B22" s="55" t="s">
        <v>855</v>
      </c>
      <c r="C22" s="52">
        <v>1445.24</v>
      </c>
      <c r="D22" s="52"/>
      <c r="E22" s="136">
        <f t="shared" si="0"/>
        <v>1445.24</v>
      </c>
    </row>
    <row r="23" spans="1:5" x14ac:dyDescent="0.25">
      <c r="A23" s="33"/>
      <c r="B23" s="55"/>
      <c r="C23" s="52"/>
      <c r="D23" s="52"/>
      <c r="E23" s="136"/>
    </row>
    <row r="24" spans="1:5" x14ac:dyDescent="0.25">
      <c r="A24" s="33">
        <v>4</v>
      </c>
      <c r="B24" s="54" t="s">
        <v>163</v>
      </c>
      <c r="C24" s="61">
        <f>SUM(C25:C33)</f>
        <v>1097698.9700000002</v>
      </c>
      <c r="D24" s="61">
        <f>SUM(D25:D26)</f>
        <v>0</v>
      </c>
      <c r="E24" s="136">
        <f t="shared" si="0"/>
        <v>1097698.9700000002</v>
      </c>
    </row>
    <row r="25" spans="1:5" x14ac:dyDescent="0.25">
      <c r="A25" s="33" t="s">
        <v>152</v>
      </c>
      <c r="B25" s="470" t="s">
        <v>833</v>
      </c>
      <c r="C25" s="138">
        <v>61500</v>
      </c>
      <c r="D25" s="138"/>
      <c r="E25" s="136">
        <f t="shared" si="0"/>
        <v>61500</v>
      </c>
    </row>
    <row r="26" spans="1:5" x14ac:dyDescent="0.25">
      <c r="A26" s="33" t="s">
        <v>266</v>
      </c>
      <c r="B26" s="55" t="s">
        <v>835</v>
      </c>
      <c r="C26" s="138">
        <v>614219</v>
      </c>
      <c r="D26" s="138"/>
      <c r="E26" s="136">
        <f t="shared" si="0"/>
        <v>614219</v>
      </c>
    </row>
    <row r="27" spans="1:5" x14ac:dyDescent="0.25">
      <c r="A27" s="33" t="s">
        <v>834</v>
      </c>
      <c r="B27" s="55" t="s">
        <v>836</v>
      </c>
      <c r="C27" s="138">
        <f>12306+101272+6974+75790</f>
        <v>196342</v>
      </c>
      <c r="D27" s="138"/>
      <c r="E27" s="136">
        <f t="shared" si="0"/>
        <v>196342</v>
      </c>
    </row>
    <row r="28" spans="1:5" x14ac:dyDescent="0.25">
      <c r="A28" s="33" t="s">
        <v>838</v>
      </c>
      <c r="B28" s="471" t="s">
        <v>837</v>
      </c>
      <c r="C28" s="52">
        <v>100</v>
      </c>
      <c r="D28" s="52"/>
      <c r="E28" s="136">
        <f t="shared" si="0"/>
        <v>100</v>
      </c>
    </row>
    <row r="29" spans="1:5" x14ac:dyDescent="0.25">
      <c r="A29" s="33" t="s">
        <v>844</v>
      </c>
      <c r="B29" s="55" t="s">
        <v>839</v>
      </c>
      <c r="C29" s="140">
        <v>24950</v>
      </c>
      <c r="D29" s="140"/>
      <c r="E29" s="136">
        <f t="shared" si="0"/>
        <v>24950</v>
      </c>
    </row>
    <row r="30" spans="1:5" x14ac:dyDescent="0.25">
      <c r="A30" s="33" t="s">
        <v>845</v>
      </c>
      <c r="B30" s="474" t="s">
        <v>840</v>
      </c>
      <c r="C30" s="140">
        <v>3470.62</v>
      </c>
      <c r="D30" s="140"/>
      <c r="E30" s="136">
        <f t="shared" si="0"/>
        <v>3470.62</v>
      </c>
    </row>
    <row r="31" spans="1:5" x14ac:dyDescent="0.25">
      <c r="A31" s="33" t="s">
        <v>846</v>
      </c>
      <c r="B31" s="55" t="s">
        <v>841</v>
      </c>
      <c r="C31" s="140">
        <v>87750</v>
      </c>
      <c r="D31" s="140"/>
      <c r="E31" s="136">
        <f t="shared" si="0"/>
        <v>87750</v>
      </c>
    </row>
    <row r="32" spans="1:5" x14ac:dyDescent="0.25">
      <c r="A32" s="33" t="s">
        <v>847</v>
      </c>
      <c r="B32" s="470" t="s">
        <v>842</v>
      </c>
      <c r="C32" s="140">
        <v>85900</v>
      </c>
      <c r="D32" s="140"/>
      <c r="E32" s="136">
        <f t="shared" si="0"/>
        <v>85900</v>
      </c>
    </row>
    <row r="33" spans="1:5" x14ac:dyDescent="0.25">
      <c r="A33" s="33" t="s">
        <v>848</v>
      </c>
      <c r="B33" s="476" t="s">
        <v>843</v>
      </c>
      <c r="C33" s="140">
        <v>23467.35</v>
      </c>
      <c r="D33" s="140"/>
      <c r="E33" s="136">
        <f t="shared" si="0"/>
        <v>23467.35</v>
      </c>
    </row>
    <row r="34" spans="1:5" x14ac:dyDescent="0.25">
      <c r="A34" s="472"/>
      <c r="B34" s="475"/>
      <c r="C34" s="140"/>
      <c r="D34" s="140"/>
      <c r="E34" s="473"/>
    </row>
    <row r="35" spans="1:5" ht="16.5" thickBot="1" x14ac:dyDescent="0.3">
      <c r="A35" s="34">
        <v>5</v>
      </c>
      <c r="B35" s="56" t="s">
        <v>197</v>
      </c>
      <c r="C35" s="142">
        <f>C5+C11+C15+C24</f>
        <v>2281280.21</v>
      </c>
      <c r="D35" s="142">
        <f>D5+D11+D15+D24</f>
        <v>0</v>
      </c>
      <c r="E35" s="139">
        <f t="shared" si="0"/>
        <v>2281280.21</v>
      </c>
    </row>
    <row r="37" spans="1:5" s="226" customFormat="1" x14ac:dyDescent="0.25">
      <c r="A37" s="224"/>
      <c r="B37" s="225" t="s">
        <v>592</v>
      </c>
    </row>
  </sheetData>
  <mergeCells count="2">
    <mergeCell ref="A1:E1"/>
    <mergeCell ref="A2:E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indexed="42"/>
    <pageSetUpPr fitToPage="1"/>
  </sheetPr>
  <dimension ref="A1:T12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H15" sqref="H15"/>
    </sheetView>
  </sheetViews>
  <sheetFormatPr defaultRowHeight="15.75" x14ac:dyDescent="0.2"/>
  <cols>
    <col min="1" max="1" width="8.85546875" style="74" customWidth="1"/>
    <col min="2" max="2" width="20.5703125" style="74" customWidth="1"/>
    <col min="3" max="3" width="18.28515625" style="74" customWidth="1"/>
    <col min="4" max="4" width="15.85546875" style="74" customWidth="1"/>
    <col min="5" max="5" width="15.7109375" style="74" customWidth="1"/>
    <col min="6" max="6" width="14.5703125" style="74" customWidth="1"/>
    <col min="7" max="7" width="18.7109375" style="74" customWidth="1"/>
    <col min="8" max="8" width="20.28515625" style="74" customWidth="1"/>
    <col min="9" max="9" width="18" style="74" customWidth="1"/>
    <col min="10" max="10" width="16.42578125" style="74" customWidth="1"/>
    <col min="11" max="11" width="16.85546875" style="74" customWidth="1"/>
    <col min="12" max="12" width="16" style="74" customWidth="1"/>
    <col min="13" max="13" width="17.7109375" style="74" customWidth="1"/>
    <col min="14" max="16384" width="9.140625" style="74"/>
  </cols>
  <sheetData>
    <row r="1" spans="1:20" s="72" customFormat="1" ht="35.1" customHeight="1" thickBot="1" x14ac:dyDescent="0.25">
      <c r="A1" s="823" t="s">
        <v>773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5"/>
    </row>
    <row r="2" spans="1:20" s="72" customFormat="1" ht="42.75" customHeight="1" x14ac:dyDescent="0.2">
      <c r="A2" s="629" t="s">
        <v>879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1:20" s="72" customFormat="1" ht="45.75" customHeight="1" x14ac:dyDescent="0.2">
      <c r="A3" s="819" t="s">
        <v>133</v>
      </c>
      <c r="B3" s="821" t="s">
        <v>697</v>
      </c>
      <c r="C3" s="821"/>
      <c r="D3" s="821"/>
      <c r="E3" s="821"/>
      <c r="F3" s="821"/>
      <c r="G3" s="821"/>
      <c r="H3" s="821" t="s">
        <v>774</v>
      </c>
      <c r="I3" s="821"/>
      <c r="J3" s="821"/>
      <c r="K3" s="821"/>
      <c r="L3" s="821"/>
      <c r="M3" s="822"/>
    </row>
    <row r="4" spans="1:20" s="73" customFormat="1" ht="171.75" customHeight="1" x14ac:dyDescent="0.2">
      <c r="A4" s="820"/>
      <c r="B4" s="285" t="s">
        <v>598</v>
      </c>
      <c r="C4" s="285" t="s">
        <v>599</v>
      </c>
      <c r="D4" s="285" t="s">
        <v>138</v>
      </c>
      <c r="E4" s="285" t="s">
        <v>36</v>
      </c>
      <c r="F4" s="285" t="s">
        <v>37</v>
      </c>
      <c r="G4" s="285" t="s">
        <v>131</v>
      </c>
      <c r="H4" s="285" t="s">
        <v>598</v>
      </c>
      <c r="I4" s="285" t="s">
        <v>599</v>
      </c>
      <c r="J4" s="285" t="s">
        <v>138</v>
      </c>
      <c r="K4" s="285" t="s">
        <v>36</v>
      </c>
      <c r="L4" s="100" t="s">
        <v>37</v>
      </c>
      <c r="M4" s="102" t="s">
        <v>131</v>
      </c>
    </row>
    <row r="5" spans="1:20" x14ac:dyDescent="0.2">
      <c r="A5" s="103"/>
      <c r="B5" s="101" t="s">
        <v>180</v>
      </c>
      <c r="C5" s="101" t="s">
        <v>181</v>
      </c>
      <c r="D5" s="101" t="s">
        <v>182</v>
      </c>
      <c r="E5" s="101" t="s">
        <v>188</v>
      </c>
      <c r="F5" s="101" t="s">
        <v>183</v>
      </c>
      <c r="G5" s="101" t="s">
        <v>562</v>
      </c>
      <c r="H5" s="101" t="s">
        <v>185</v>
      </c>
      <c r="I5" s="101" t="s">
        <v>186</v>
      </c>
      <c r="J5" s="101" t="s">
        <v>187</v>
      </c>
      <c r="K5" s="101" t="s">
        <v>563</v>
      </c>
      <c r="L5" s="214" t="s">
        <v>564</v>
      </c>
      <c r="M5" s="104" t="s">
        <v>659</v>
      </c>
    </row>
    <row r="6" spans="1:20" ht="63" customHeight="1" thickBot="1" x14ac:dyDescent="0.25">
      <c r="A6" s="105">
        <v>1</v>
      </c>
      <c r="B6" s="215">
        <v>15133861.9</v>
      </c>
      <c r="C6" s="215">
        <v>31857618.789999999</v>
      </c>
      <c r="D6" s="215">
        <v>873894.26</v>
      </c>
      <c r="E6" s="215">
        <v>1533366.42</v>
      </c>
      <c r="F6" s="215">
        <v>2347004.73</v>
      </c>
      <c r="G6" s="216">
        <f>SUM(B6:F6)</f>
        <v>51745746.099999994</v>
      </c>
      <c r="H6" s="215">
        <f>B6+'T11-Zdroje KV'!D15-'T5 - Analýza nákladov'!E91-2478-0.01</f>
        <v>16181778.310000001</v>
      </c>
      <c r="I6" s="215">
        <f>C6+'T11-Zdroje KV'!D16-'T5 - Analýza nákladov'!E93-14572.84</f>
        <v>28426165.989999998</v>
      </c>
      <c r="J6" s="215">
        <v>1921124.99</v>
      </c>
      <c r="K6" s="215">
        <v>1239865.57</v>
      </c>
      <c r="L6" s="215">
        <v>2758319.38</v>
      </c>
      <c r="M6" s="217">
        <f>SUM(H6:L6)</f>
        <v>50527254.240000002</v>
      </c>
      <c r="N6" s="818"/>
      <c r="O6" s="818"/>
      <c r="P6" s="818"/>
      <c r="Q6" s="818"/>
      <c r="R6" s="818"/>
      <c r="S6" s="818"/>
      <c r="T6" s="818"/>
    </row>
    <row r="7" spans="1:20" x14ac:dyDescent="0.2">
      <c r="H7" s="592"/>
      <c r="I7" s="592"/>
    </row>
    <row r="8" spans="1:20" x14ac:dyDescent="0.2">
      <c r="H8" s="593"/>
      <c r="I8" s="594"/>
    </row>
    <row r="9" spans="1:20" ht="15.75" customHeight="1" x14ac:dyDescent="0.2">
      <c r="B9" s="376" t="s">
        <v>645</v>
      </c>
      <c r="C9" s="376"/>
    </row>
    <row r="11" spans="1:20" x14ac:dyDescent="0.2">
      <c r="B11" s="376" t="s">
        <v>574</v>
      </c>
      <c r="C11" s="376"/>
    </row>
    <row r="12" spans="1:20" x14ac:dyDescent="0.2">
      <c r="I12" s="602"/>
    </row>
  </sheetData>
  <mergeCells count="6">
    <mergeCell ref="N6:T6"/>
    <mergeCell ref="A3:A4"/>
    <mergeCell ref="B3:G3"/>
    <mergeCell ref="H3:M3"/>
    <mergeCell ref="A1:M1"/>
    <mergeCell ref="A2:M2"/>
  </mergeCells>
  <phoneticPr fontId="21" type="noConversion"/>
  <pageMargins left="0.4" right="0.27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4"/>
  <sheetViews>
    <sheetView zoomScaleNormal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H45" sqref="H45"/>
    </sheetView>
  </sheetViews>
  <sheetFormatPr defaultRowHeight="15.75" x14ac:dyDescent="0.2"/>
  <cols>
    <col min="1" max="1" width="7.28515625" style="172" customWidth="1"/>
    <col min="2" max="2" width="39.85546875" style="172" customWidth="1"/>
    <col min="3" max="3" width="9.42578125" style="172" customWidth="1"/>
    <col min="4" max="4" width="18.42578125" style="172" customWidth="1"/>
    <col min="5" max="5" width="16.7109375" style="172" customWidth="1"/>
    <col min="6" max="6" width="15.42578125" style="172" customWidth="1"/>
    <col min="7" max="7" width="52" style="172" customWidth="1"/>
    <col min="8" max="16384" width="9.140625" style="172"/>
  </cols>
  <sheetData>
    <row r="1" spans="1:7" ht="66.75" customHeight="1" thickBot="1" x14ac:dyDescent="0.25">
      <c r="A1" s="832" t="s">
        <v>775</v>
      </c>
      <c r="B1" s="833"/>
      <c r="C1" s="833"/>
      <c r="D1" s="833"/>
      <c r="E1" s="833"/>
      <c r="F1" s="834"/>
    </row>
    <row r="2" spans="1:7" ht="36.75" customHeight="1" thickBot="1" x14ac:dyDescent="0.25">
      <c r="A2" s="835" t="s">
        <v>872</v>
      </c>
      <c r="B2" s="836"/>
      <c r="C2" s="836"/>
      <c r="D2" s="836"/>
      <c r="E2" s="836"/>
      <c r="F2" s="837"/>
    </row>
    <row r="3" spans="1:7" s="173" customFormat="1" ht="69" customHeight="1" thickBot="1" x14ac:dyDescent="0.25">
      <c r="A3" s="461" t="s">
        <v>403</v>
      </c>
      <c r="B3" s="461" t="s">
        <v>277</v>
      </c>
      <c r="C3" s="464" t="s">
        <v>133</v>
      </c>
      <c r="D3" s="464" t="s">
        <v>776</v>
      </c>
      <c r="E3" s="465" t="s">
        <v>777</v>
      </c>
      <c r="F3" s="466" t="s">
        <v>752</v>
      </c>
      <c r="G3" s="172"/>
    </row>
    <row r="4" spans="1:7" s="173" customFormat="1" x14ac:dyDescent="0.2">
      <c r="A4" s="457"/>
      <c r="B4" s="467"/>
      <c r="C4" s="459"/>
      <c r="D4" s="459" t="s">
        <v>180</v>
      </c>
      <c r="E4" s="459" t="s">
        <v>181</v>
      </c>
      <c r="F4" s="460" t="s">
        <v>182</v>
      </c>
      <c r="G4" s="172"/>
    </row>
    <row r="5" spans="1:7" customFormat="1" x14ac:dyDescent="0.25">
      <c r="A5" s="205">
        <v>601</v>
      </c>
      <c r="B5" s="198" t="s">
        <v>477</v>
      </c>
      <c r="C5" s="199" t="s">
        <v>478</v>
      </c>
      <c r="D5" s="576">
        <v>255396.56</v>
      </c>
      <c r="E5" s="193">
        <v>271546.06</v>
      </c>
      <c r="F5" s="197">
        <f>E5-D5</f>
        <v>16149.5</v>
      </c>
      <c r="G5" s="172"/>
    </row>
    <row r="6" spans="1:7" customFormat="1" x14ac:dyDescent="0.25">
      <c r="A6" s="206">
        <v>602</v>
      </c>
      <c r="B6" s="200" t="s">
        <v>479</v>
      </c>
      <c r="C6" s="201" t="s">
        <v>480</v>
      </c>
      <c r="D6" s="577">
        <v>863555.93</v>
      </c>
      <c r="E6" s="194">
        <v>800342.86</v>
      </c>
      <c r="F6" s="197">
        <f t="shared" ref="F6:F39" si="0">E6-D6</f>
        <v>-63213.070000000065</v>
      </c>
      <c r="G6" s="172"/>
    </row>
    <row r="7" spans="1:7" customFormat="1" x14ac:dyDescent="0.25">
      <c r="A7" s="206">
        <v>604</v>
      </c>
      <c r="B7" s="202" t="s">
        <v>481</v>
      </c>
      <c r="C7" s="201" t="s">
        <v>482</v>
      </c>
      <c r="D7" s="577"/>
      <c r="E7" s="194"/>
      <c r="F7" s="197">
        <f t="shared" si="0"/>
        <v>0</v>
      </c>
      <c r="G7" s="172"/>
    </row>
    <row r="8" spans="1:7" customFormat="1" x14ac:dyDescent="0.25">
      <c r="A8" s="206">
        <v>611</v>
      </c>
      <c r="B8" s="200" t="s">
        <v>483</v>
      </c>
      <c r="C8" s="201" t="s">
        <v>484</v>
      </c>
      <c r="D8" s="577"/>
      <c r="E8" s="194"/>
      <c r="F8" s="197">
        <f t="shared" si="0"/>
        <v>0</v>
      </c>
      <c r="G8" s="172"/>
    </row>
    <row r="9" spans="1:7" customFormat="1" x14ac:dyDescent="0.25">
      <c r="A9" s="206">
        <v>612</v>
      </c>
      <c r="B9" s="200" t="s">
        <v>485</v>
      </c>
      <c r="C9" s="201" t="s">
        <v>486</v>
      </c>
      <c r="D9" s="577"/>
      <c r="E9" s="194"/>
      <c r="F9" s="197">
        <f t="shared" si="0"/>
        <v>0</v>
      </c>
      <c r="G9" s="172"/>
    </row>
    <row r="10" spans="1:7" customFormat="1" x14ac:dyDescent="0.25">
      <c r="A10" s="206">
        <v>613</v>
      </c>
      <c r="B10" s="200" t="s">
        <v>487</v>
      </c>
      <c r="C10" s="201" t="s">
        <v>488</v>
      </c>
      <c r="D10" s="577"/>
      <c r="E10" s="194"/>
      <c r="F10" s="197">
        <f t="shared" si="0"/>
        <v>0</v>
      </c>
      <c r="G10" s="172"/>
    </row>
    <row r="11" spans="1:7" customFormat="1" x14ac:dyDescent="0.25">
      <c r="A11" s="206">
        <v>614</v>
      </c>
      <c r="B11" s="200" t="s">
        <v>489</v>
      </c>
      <c r="C11" s="201" t="s">
        <v>490</v>
      </c>
      <c r="D11" s="577"/>
      <c r="E11" s="194"/>
      <c r="F11" s="197">
        <f t="shared" si="0"/>
        <v>0</v>
      </c>
      <c r="G11" s="172"/>
    </row>
    <row r="12" spans="1:7" customFormat="1" x14ac:dyDescent="0.25">
      <c r="A12" s="206">
        <v>621</v>
      </c>
      <c r="B12" s="200" t="s">
        <v>491</v>
      </c>
      <c r="C12" s="201" t="s">
        <v>492</v>
      </c>
      <c r="D12" s="577"/>
      <c r="E12" s="194"/>
      <c r="F12" s="197">
        <f t="shared" si="0"/>
        <v>0</v>
      </c>
      <c r="G12" s="172"/>
    </row>
    <row r="13" spans="1:7" customFormat="1" x14ac:dyDescent="0.25">
      <c r="A13" s="206">
        <v>622</v>
      </c>
      <c r="B13" s="200" t="s">
        <v>493</v>
      </c>
      <c r="C13" s="201" t="s">
        <v>494</v>
      </c>
      <c r="D13" s="577"/>
      <c r="E13" s="194"/>
      <c r="F13" s="197">
        <f t="shared" si="0"/>
        <v>0</v>
      </c>
      <c r="G13" s="172"/>
    </row>
    <row r="14" spans="1:7" customFormat="1" x14ac:dyDescent="0.25">
      <c r="A14" s="206">
        <v>623</v>
      </c>
      <c r="B14" s="200" t="s">
        <v>495</v>
      </c>
      <c r="C14" s="201" t="s">
        <v>496</v>
      </c>
      <c r="D14" s="577"/>
      <c r="E14" s="194"/>
      <c r="F14" s="197">
        <f t="shared" si="0"/>
        <v>0</v>
      </c>
    </row>
    <row r="15" spans="1:7" customFormat="1" x14ac:dyDescent="0.25">
      <c r="A15" s="206">
        <v>624</v>
      </c>
      <c r="B15" s="200" t="s">
        <v>497</v>
      </c>
      <c r="C15" s="201" t="s">
        <v>498</v>
      </c>
      <c r="D15" s="577"/>
      <c r="E15" s="194"/>
      <c r="F15" s="197">
        <f t="shared" si="0"/>
        <v>0</v>
      </c>
    </row>
    <row r="16" spans="1:7" customFormat="1" x14ac:dyDescent="0.25">
      <c r="A16" s="206">
        <v>641</v>
      </c>
      <c r="B16" s="200" t="s">
        <v>434</v>
      </c>
      <c r="C16" s="201" t="s">
        <v>499</v>
      </c>
      <c r="D16" s="577"/>
      <c r="E16" s="194"/>
      <c r="F16" s="197">
        <f t="shared" si="0"/>
        <v>0</v>
      </c>
    </row>
    <row r="17" spans="1:7" customFormat="1" x14ac:dyDescent="0.25">
      <c r="A17" s="206">
        <v>642</v>
      </c>
      <c r="B17" s="200" t="s">
        <v>436</v>
      </c>
      <c r="C17" s="201" t="s">
        <v>500</v>
      </c>
      <c r="D17" s="577"/>
      <c r="E17" s="194"/>
      <c r="F17" s="197">
        <f t="shared" si="0"/>
        <v>0</v>
      </c>
    </row>
    <row r="18" spans="1:7" customFormat="1" x14ac:dyDescent="0.25">
      <c r="A18" s="206">
        <v>643</v>
      </c>
      <c r="B18" s="200" t="s">
        <v>501</v>
      </c>
      <c r="C18" s="201" t="s">
        <v>502</v>
      </c>
      <c r="D18" s="577"/>
      <c r="E18" s="194"/>
      <c r="F18" s="197">
        <f t="shared" si="0"/>
        <v>0</v>
      </c>
    </row>
    <row r="19" spans="1:7" customFormat="1" x14ac:dyDescent="0.25">
      <c r="A19" s="206">
        <v>644</v>
      </c>
      <c r="B19" s="200" t="s">
        <v>440</v>
      </c>
      <c r="C19" s="201" t="s">
        <v>503</v>
      </c>
      <c r="D19" s="577"/>
      <c r="E19" s="194"/>
      <c r="F19" s="197">
        <f t="shared" si="0"/>
        <v>0</v>
      </c>
    </row>
    <row r="20" spans="1:7" customFormat="1" x14ac:dyDescent="0.25">
      <c r="A20" s="206">
        <v>645</v>
      </c>
      <c r="B20" s="200" t="s">
        <v>504</v>
      </c>
      <c r="C20" s="201" t="s">
        <v>505</v>
      </c>
      <c r="D20" s="577"/>
      <c r="E20" s="194"/>
      <c r="F20" s="197">
        <f t="shared" si="0"/>
        <v>0</v>
      </c>
    </row>
    <row r="21" spans="1:7" customFormat="1" x14ac:dyDescent="0.25">
      <c r="A21" s="206">
        <v>646</v>
      </c>
      <c r="B21" s="200" t="s">
        <v>506</v>
      </c>
      <c r="C21" s="201" t="s">
        <v>507</v>
      </c>
      <c r="D21" s="577"/>
      <c r="E21" s="194"/>
      <c r="F21" s="197">
        <f t="shared" si="0"/>
        <v>0</v>
      </c>
    </row>
    <row r="22" spans="1:7" customFormat="1" x14ac:dyDescent="0.25">
      <c r="A22" s="206">
        <v>647</v>
      </c>
      <c r="B22" s="200" t="s">
        <v>508</v>
      </c>
      <c r="C22" s="201" t="s">
        <v>509</v>
      </c>
      <c r="D22" s="577"/>
      <c r="E22" s="194"/>
      <c r="F22" s="197">
        <f t="shared" si="0"/>
        <v>0</v>
      </c>
    </row>
    <row r="23" spans="1:7" customFormat="1" x14ac:dyDescent="0.25">
      <c r="A23" s="206">
        <v>648</v>
      </c>
      <c r="B23" s="200" t="s">
        <v>736</v>
      </c>
      <c r="C23" s="201" t="s">
        <v>510</v>
      </c>
      <c r="D23" s="577">
        <f>'[2]T4-Výnosy zo školného'!C19</f>
        <v>64729.47</v>
      </c>
      <c r="E23" s="194">
        <f>'[2]T4-Výnosy zo školného'!D19</f>
        <v>48953.37</v>
      </c>
      <c r="F23" s="197">
        <f t="shared" si="0"/>
        <v>-15776.099999999999</v>
      </c>
    </row>
    <row r="24" spans="1:7" customFormat="1" ht="70.5" customHeight="1" x14ac:dyDescent="0.25">
      <c r="A24" s="206">
        <v>649</v>
      </c>
      <c r="B24" s="200" t="s">
        <v>511</v>
      </c>
      <c r="C24" s="201" t="s">
        <v>512</v>
      </c>
      <c r="D24" s="577">
        <f>3871.55+43300.46</f>
        <v>47172.01</v>
      </c>
      <c r="E24" s="194">
        <f>13119.4+4299.5</f>
        <v>17418.900000000001</v>
      </c>
      <c r="F24" s="197">
        <f t="shared" si="0"/>
        <v>-29753.11</v>
      </c>
      <c r="G24" s="601"/>
    </row>
    <row r="25" spans="1:7" customFormat="1" x14ac:dyDescent="0.25">
      <c r="A25" s="206">
        <v>651</v>
      </c>
      <c r="B25" s="200" t="s">
        <v>513</v>
      </c>
      <c r="C25" s="201" t="s">
        <v>514</v>
      </c>
      <c r="D25" s="577"/>
      <c r="E25" s="194"/>
      <c r="F25" s="197">
        <f t="shared" si="0"/>
        <v>0</v>
      </c>
    </row>
    <row r="26" spans="1:7" customFormat="1" x14ac:dyDescent="0.25">
      <c r="A26" s="206">
        <v>652</v>
      </c>
      <c r="B26" s="200" t="s">
        <v>515</v>
      </c>
      <c r="C26" s="201" t="s">
        <v>516</v>
      </c>
      <c r="D26" s="577"/>
      <c r="E26" s="194"/>
      <c r="F26" s="197">
        <f t="shared" si="0"/>
        <v>0</v>
      </c>
    </row>
    <row r="27" spans="1:7" customFormat="1" x14ac:dyDescent="0.25">
      <c r="A27" s="206">
        <v>653</v>
      </c>
      <c r="B27" s="200" t="s">
        <v>517</v>
      </c>
      <c r="C27" s="201" t="s">
        <v>518</v>
      </c>
      <c r="D27" s="577"/>
      <c r="E27" s="194"/>
      <c r="F27" s="197">
        <f t="shared" si="0"/>
        <v>0</v>
      </c>
    </row>
    <row r="28" spans="1:7" customFormat="1" x14ac:dyDescent="0.25">
      <c r="A28" s="206">
        <v>654</v>
      </c>
      <c r="B28" s="200" t="s">
        <v>519</v>
      </c>
      <c r="C28" s="201" t="s">
        <v>520</v>
      </c>
      <c r="D28" s="577"/>
      <c r="E28" s="194"/>
      <c r="F28" s="197">
        <f t="shared" si="0"/>
        <v>0</v>
      </c>
    </row>
    <row r="29" spans="1:7" customFormat="1" x14ac:dyDescent="0.25">
      <c r="A29" s="206">
        <v>655</v>
      </c>
      <c r="B29" s="200" t="s">
        <v>521</v>
      </c>
      <c r="C29" s="201" t="s">
        <v>522</v>
      </c>
      <c r="D29" s="577"/>
      <c r="E29" s="194"/>
      <c r="F29" s="197">
        <f t="shared" si="0"/>
        <v>0</v>
      </c>
    </row>
    <row r="30" spans="1:7" customFormat="1" x14ac:dyDescent="0.25">
      <c r="A30" s="207">
        <v>656</v>
      </c>
      <c r="B30" s="200" t="s">
        <v>523</v>
      </c>
      <c r="C30" s="201" t="s">
        <v>524</v>
      </c>
      <c r="D30" s="577">
        <v>48274.22</v>
      </c>
      <c r="E30" s="577">
        <f>42457.84-500</f>
        <v>41957.84</v>
      </c>
      <c r="F30" s="197">
        <f t="shared" si="0"/>
        <v>-6316.3800000000047</v>
      </c>
      <c r="G30" s="118"/>
    </row>
    <row r="31" spans="1:7" customFormat="1" x14ac:dyDescent="0.25">
      <c r="A31" s="207">
        <v>657</v>
      </c>
      <c r="B31" s="200" t="s">
        <v>525</v>
      </c>
      <c r="C31" s="201" t="s">
        <v>526</v>
      </c>
      <c r="D31" s="577"/>
      <c r="E31" s="194"/>
      <c r="F31" s="197">
        <f t="shared" si="0"/>
        <v>0</v>
      </c>
    </row>
    <row r="32" spans="1:7" customFormat="1" x14ac:dyDescent="0.25">
      <c r="A32" s="207">
        <v>658</v>
      </c>
      <c r="B32" s="200" t="s">
        <v>527</v>
      </c>
      <c r="C32" s="201" t="s">
        <v>528</v>
      </c>
      <c r="D32" s="577"/>
      <c r="E32" s="194"/>
      <c r="F32" s="197">
        <f t="shared" si="0"/>
        <v>0</v>
      </c>
    </row>
    <row r="33" spans="1:7" customFormat="1" x14ac:dyDescent="0.25">
      <c r="A33" s="207">
        <v>661</v>
      </c>
      <c r="B33" s="200" t="s">
        <v>529</v>
      </c>
      <c r="C33" s="201" t="s">
        <v>530</v>
      </c>
      <c r="D33" s="577"/>
      <c r="E33" s="194"/>
      <c r="F33" s="197">
        <f t="shared" si="0"/>
        <v>0</v>
      </c>
    </row>
    <row r="34" spans="1:7" customFormat="1" x14ac:dyDescent="0.25">
      <c r="A34" s="207">
        <v>662</v>
      </c>
      <c r="B34" s="200" t="s">
        <v>531</v>
      </c>
      <c r="C34" s="201" t="s">
        <v>532</v>
      </c>
      <c r="D34" s="577"/>
      <c r="E34" s="194"/>
      <c r="F34" s="197">
        <f t="shared" si="0"/>
        <v>0</v>
      </c>
    </row>
    <row r="35" spans="1:7" customFormat="1" x14ac:dyDescent="0.25">
      <c r="A35" s="207">
        <v>663</v>
      </c>
      <c r="B35" s="200" t="s">
        <v>533</v>
      </c>
      <c r="C35" s="201" t="s">
        <v>534</v>
      </c>
      <c r="D35" s="577"/>
      <c r="E35" s="194"/>
      <c r="F35" s="197">
        <f t="shared" si="0"/>
        <v>0</v>
      </c>
    </row>
    <row r="36" spans="1:7" customFormat="1" x14ac:dyDescent="0.25">
      <c r="A36" s="207">
        <v>664</v>
      </c>
      <c r="B36" s="200" t="s">
        <v>535</v>
      </c>
      <c r="C36" s="201" t="s">
        <v>536</v>
      </c>
      <c r="D36" s="578"/>
      <c r="E36" s="195"/>
      <c r="F36" s="197">
        <f t="shared" si="0"/>
        <v>0</v>
      </c>
      <c r="G36" s="172"/>
    </row>
    <row r="37" spans="1:7" customFormat="1" x14ac:dyDescent="0.25">
      <c r="A37" s="207">
        <v>665</v>
      </c>
      <c r="B37" s="200" t="s">
        <v>537</v>
      </c>
      <c r="C37" s="201" t="s">
        <v>538</v>
      </c>
      <c r="D37" s="578"/>
      <c r="E37" s="195"/>
      <c r="F37" s="197">
        <f t="shared" si="0"/>
        <v>0</v>
      </c>
      <c r="G37" s="172"/>
    </row>
    <row r="38" spans="1:7" x14ac:dyDescent="0.25">
      <c r="A38" s="207">
        <v>667</v>
      </c>
      <c r="B38" s="200" t="s">
        <v>539</v>
      </c>
      <c r="C38" s="201" t="s">
        <v>540</v>
      </c>
      <c r="D38" s="578"/>
      <c r="E38" s="195"/>
      <c r="F38" s="197">
        <f t="shared" si="0"/>
        <v>0</v>
      </c>
    </row>
    <row r="39" spans="1:7" x14ac:dyDescent="0.25">
      <c r="A39" s="207">
        <v>691</v>
      </c>
      <c r="B39" s="200" t="s">
        <v>541</v>
      </c>
      <c r="C39" s="201" t="s">
        <v>542</v>
      </c>
      <c r="D39" s="578">
        <v>991996.79</v>
      </c>
      <c r="E39" s="195">
        <v>1016075.7</v>
      </c>
      <c r="F39" s="197">
        <f t="shared" si="0"/>
        <v>24078.909999999916</v>
      </c>
    </row>
    <row r="40" spans="1:7" x14ac:dyDescent="0.2">
      <c r="A40" s="826" t="s">
        <v>543</v>
      </c>
      <c r="B40" s="827"/>
      <c r="C40" s="203" t="s">
        <v>544</v>
      </c>
      <c r="D40" s="192">
        <f>SUM(D5:D39)</f>
        <v>2271124.98</v>
      </c>
      <c r="E40" s="196">
        <f>SUM(E5:E39)</f>
        <v>2196294.73</v>
      </c>
      <c r="F40" s="197">
        <f>SUM(F5:F39)</f>
        <v>-74830.250000000146</v>
      </c>
    </row>
    <row r="41" spans="1:7" x14ac:dyDescent="0.2">
      <c r="A41" s="828" t="s">
        <v>545</v>
      </c>
      <c r="B41" s="829"/>
      <c r="C41" s="204" t="s">
        <v>546</v>
      </c>
      <c r="D41" s="50">
        <f>D40-T23_Náklady_soc_oblasť!D42</f>
        <v>474145.05000000005</v>
      </c>
      <c r="E41" s="229">
        <f>E40-T23_Náklady_soc_oblasť!E42</f>
        <v>289213.59999999986</v>
      </c>
      <c r="F41" s="197">
        <f>F40-T23_Náklady_soc_oblasť!F42</f>
        <v>-184931.45000000016</v>
      </c>
    </row>
    <row r="42" spans="1:7" x14ac:dyDescent="0.25">
      <c r="A42" s="207">
        <v>591</v>
      </c>
      <c r="B42" s="200" t="s">
        <v>547</v>
      </c>
      <c r="C42" s="201" t="s">
        <v>548</v>
      </c>
      <c r="D42" s="184"/>
      <c r="E42" s="194"/>
      <c r="F42" s="197">
        <f>E42-D42</f>
        <v>0</v>
      </c>
    </row>
    <row r="43" spans="1:7" x14ac:dyDescent="0.25">
      <c r="A43" s="207">
        <v>595</v>
      </c>
      <c r="B43" s="200" t="s">
        <v>549</v>
      </c>
      <c r="C43" s="201" t="s">
        <v>550</v>
      </c>
      <c r="D43" s="184"/>
      <c r="E43" s="194"/>
      <c r="F43" s="197">
        <f>E43-D43</f>
        <v>0</v>
      </c>
    </row>
    <row r="44" spans="1:7" ht="16.5" thickBot="1" x14ac:dyDescent="0.25">
      <c r="A44" s="830" t="s">
        <v>551</v>
      </c>
      <c r="B44" s="831"/>
      <c r="C44" s="330" t="s">
        <v>552</v>
      </c>
      <c r="D44" s="331">
        <f>D41-D42-D43</f>
        <v>474145.05000000005</v>
      </c>
      <c r="E44" s="331">
        <f>E41-E42-E43</f>
        <v>289213.59999999986</v>
      </c>
      <c r="F44" s="329">
        <f>E44-D44</f>
        <v>-184931.45000000019</v>
      </c>
    </row>
  </sheetData>
  <mergeCells count="5">
    <mergeCell ref="A40:B40"/>
    <mergeCell ref="A41:B41"/>
    <mergeCell ref="A44:B44"/>
    <mergeCell ref="A1:F1"/>
    <mergeCell ref="A2:F2"/>
  </mergeCells>
  <pageMargins left="0.55118110236220474" right="0.47244094488188981" top="0.59055118110236227" bottom="0.47244094488188981" header="0.15748031496062992" footer="0.15748031496062992"/>
  <pageSetup paperSize="9" scale="8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33" sqref="H33"/>
    </sheetView>
  </sheetViews>
  <sheetFormatPr defaultRowHeight="12.75" x14ac:dyDescent="0.2"/>
  <cols>
    <col min="1" max="1" width="8.28515625" customWidth="1"/>
    <col min="2" max="2" width="42.140625" customWidth="1"/>
    <col min="3" max="3" width="10.140625" customWidth="1"/>
    <col min="4" max="4" width="17.42578125" customWidth="1"/>
    <col min="5" max="5" width="17.140625" customWidth="1"/>
    <col min="6" max="6" width="16.5703125" customWidth="1"/>
    <col min="7" max="7" width="16.5703125" style="118" customWidth="1"/>
    <col min="8" max="8" width="10.140625" customWidth="1"/>
  </cols>
  <sheetData>
    <row r="1" spans="1:7" ht="61.5" customHeight="1" thickBot="1" x14ac:dyDescent="0.25">
      <c r="A1" s="841" t="s">
        <v>778</v>
      </c>
      <c r="B1" s="842"/>
      <c r="C1" s="842"/>
      <c r="D1" s="842"/>
      <c r="E1" s="842"/>
      <c r="F1" s="843"/>
      <c r="G1" s="596"/>
    </row>
    <row r="2" spans="1:7" ht="47.25" customHeight="1" thickBot="1" x14ac:dyDescent="0.25">
      <c r="A2" s="838" t="s">
        <v>872</v>
      </c>
      <c r="B2" s="839"/>
      <c r="C2" s="839"/>
      <c r="D2" s="839"/>
      <c r="E2" s="839"/>
      <c r="F2" s="840"/>
      <c r="G2" s="597"/>
    </row>
    <row r="3" spans="1:7" ht="64.5" customHeight="1" thickBot="1" x14ac:dyDescent="0.25">
      <c r="A3" s="461" t="s">
        <v>403</v>
      </c>
      <c r="B3" s="462" t="s">
        <v>277</v>
      </c>
      <c r="C3" s="463" t="s">
        <v>133</v>
      </c>
      <c r="D3" s="464" t="s">
        <v>698</v>
      </c>
      <c r="E3" s="465" t="s">
        <v>779</v>
      </c>
      <c r="F3" s="466" t="s">
        <v>780</v>
      </c>
      <c r="G3" s="598"/>
    </row>
    <row r="4" spans="1:7" ht="15.75" x14ac:dyDescent="0.2">
      <c r="A4" s="457"/>
      <c r="B4" s="458"/>
      <c r="C4" s="458"/>
      <c r="D4" s="459" t="s">
        <v>180</v>
      </c>
      <c r="E4" s="459" t="s">
        <v>181</v>
      </c>
      <c r="F4" s="460" t="s">
        <v>182</v>
      </c>
      <c r="G4" s="598"/>
    </row>
    <row r="5" spans="1:7" ht="15.75" x14ac:dyDescent="0.25">
      <c r="A5" s="280">
        <v>501</v>
      </c>
      <c r="B5" s="189" t="s">
        <v>404</v>
      </c>
      <c r="C5" s="188" t="s">
        <v>405</v>
      </c>
      <c r="D5" s="576">
        <v>224769.96</v>
      </c>
      <c r="E5" s="193">
        <v>274958.53000000003</v>
      </c>
      <c r="F5" s="197">
        <f>E5-D5</f>
        <v>50188.570000000036</v>
      </c>
      <c r="G5" s="599"/>
    </row>
    <row r="6" spans="1:7" ht="15.75" x14ac:dyDescent="0.25">
      <c r="A6" s="279">
        <v>502</v>
      </c>
      <c r="B6" s="190" t="s">
        <v>406</v>
      </c>
      <c r="C6" s="185" t="s">
        <v>407</v>
      </c>
      <c r="D6" s="577">
        <v>356162.75</v>
      </c>
      <c r="E6" s="194">
        <v>365097.86</v>
      </c>
      <c r="F6" s="332">
        <f t="shared" ref="F6:F41" si="0">E6-D6</f>
        <v>8935.109999999986</v>
      </c>
      <c r="G6" s="599"/>
    </row>
    <row r="7" spans="1:7" ht="15.75" x14ac:dyDescent="0.25">
      <c r="A7" s="279">
        <v>504</v>
      </c>
      <c r="B7" s="190" t="s">
        <v>408</v>
      </c>
      <c r="C7" s="185" t="s">
        <v>409</v>
      </c>
      <c r="D7" s="577">
        <v>0</v>
      </c>
      <c r="E7" s="194"/>
      <c r="F7" s="332">
        <f t="shared" si="0"/>
        <v>0</v>
      </c>
      <c r="G7" s="599"/>
    </row>
    <row r="8" spans="1:7" ht="15.75" x14ac:dyDescent="0.25">
      <c r="A8" s="279">
        <v>511</v>
      </c>
      <c r="B8" s="190" t="s">
        <v>410</v>
      </c>
      <c r="C8" s="185" t="s">
        <v>411</v>
      </c>
      <c r="D8" s="577">
        <v>50789.26</v>
      </c>
      <c r="E8" s="194">
        <v>30533.52</v>
      </c>
      <c r="F8" s="332">
        <f t="shared" si="0"/>
        <v>-20255.740000000002</v>
      </c>
      <c r="G8" s="599"/>
    </row>
    <row r="9" spans="1:7" ht="15.75" x14ac:dyDescent="0.25">
      <c r="A9" s="279">
        <v>512</v>
      </c>
      <c r="B9" s="190" t="s">
        <v>412</v>
      </c>
      <c r="C9" s="185" t="s">
        <v>413</v>
      </c>
      <c r="D9" s="577">
        <v>4737.1499999999996</v>
      </c>
      <c r="E9" s="194">
        <v>756.39</v>
      </c>
      <c r="F9" s="332">
        <f t="shared" si="0"/>
        <v>-3980.7599999999998</v>
      </c>
      <c r="G9" s="599"/>
    </row>
    <row r="10" spans="1:7" ht="15.75" x14ac:dyDescent="0.25">
      <c r="A10" s="279">
        <v>513</v>
      </c>
      <c r="B10" s="190" t="s">
        <v>414</v>
      </c>
      <c r="C10" s="185" t="s">
        <v>415</v>
      </c>
      <c r="D10" s="577">
        <v>0</v>
      </c>
      <c r="E10" s="194">
        <v>106.98</v>
      </c>
      <c r="F10" s="332">
        <f t="shared" si="0"/>
        <v>106.98</v>
      </c>
      <c r="G10" s="599"/>
    </row>
    <row r="11" spans="1:7" ht="15.75" x14ac:dyDescent="0.25">
      <c r="A11" s="279">
        <v>518</v>
      </c>
      <c r="B11" s="190" t="s">
        <v>416</v>
      </c>
      <c r="C11" s="185" t="s">
        <v>417</v>
      </c>
      <c r="D11" s="577">
        <v>59559.44</v>
      </c>
      <c r="E11" s="194">
        <f>61920.57+88481.57</f>
        <v>150402.14000000001</v>
      </c>
      <c r="F11" s="332">
        <f t="shared" si="0"/>
        <v>90842.700000000012</v>
      </c>
      <c r="G11" s="599"/>
    </row>
    <row r="12" spans="1:7" ht="15.75" x14ac:dyDescent="0.25">
      <c r="A12" s="279">
        <v>521</v>
      </c>
      <c r="B12" s="190" t="s">
        <v>418</v>
      </c>
      <c r="C12" s="185" t="s">
        <v>419</v>
      </c>
      <c r="D12" s="577">
        <v>629773.28</v>
      </c>
      <c r="E12" s="194">
        <v>636949.62</v>
      </c>
      <c r="F12" s="332">
        <f t="shared" si="0"/>
        <v>7176.3399999999674</v>
      </c>
      <c r="G12" s="599"/>
    </row>
    <row r="13" spans="1:7" ht="15.75" x14ac:dyDescent="0.25">
      <c r="A13" s="279">
        <v>524</v>
      </c>
      <c r="B13" s="190" t="s">
        <v>420</v>
      </c>
      <c r="C13" s="185" t="s">
        <v>421</v>
      </c>
      <c r="D13" s="577">
        <v>220975.28</v>
      </c>
      <c r="E13" s="194">
        <v>223692.79</v>
      </c>
      <c r="F13" s="332">
        <f t="shared" si="0"/>
        <v>2717.5100000000093</v>
      </c>
      <c r="G13" s="599"/>
    </row>
    <row r="14" spans="1:7" ht="15.75" x14ac:dyDescent="0.25">
      <c r="A14" s="279">
        <v>525</v>
      </c>
      <c r="B14" s="190" t="s">
        <v>422</v>
      </c>
      <c r="C14" s="185" t="s">
        <v>423</v>
      </c>
      <c r="D14" s="577">
        <v>13522.43</v>
      </c>
      <c r="E14" s="194">
        <v>15302.91</v>
      </c>
      <c r="F14" s="332">
        <f t="shared" si="0"/>
        <v>1780.4799999999996</v>
      </c>
      <c r="G14" s="599"/>
    </row>
    <row r="15" spans="1:7" ht="15.75" x14ac:dyDescent="0.25">
      <c r="A15" s="279">
        <v>527</v>
      </c>
      <c r="B15" s="190" t="s">
        <v>424</v>
      </c>
      <c r="C15" s="185" t="s">
        <v>425</v>
      </c>
      <c r="D15" s="577">
        <v>38590.5</v>
      </c>
      <c r="E15" s="194">
        <v>43548.45</v>
      </c>
      <c r="F15" s="332">
        <f t="shared" si="0"/>
        <v>4957.9499999999971</v>
      </c>
      <c r="G15" s="599"/>
    </row>
    <row r="16" spans="1:7" ht="15.75" x14ac:dyDescent="0.25">
      <c r="A16" s="279">
        <v>528</v>
      </c>
      <c r="B16" s="190" t="s">
        <v>426</v>
      </c>
      <c r="C16" s="185" t="s">
        <v>427</v>
      </c>
      <c r="D16" s="577">
        <v>0</v>
      </c>
      <c r="E16" s="194">
        <v>0</v>
      </c>
      <c r="F16" s="332">
        <f t="shared" si="0"/>
        <v>0</v>
      </c>
      <c r="G16" s="599"/>
    </row>
    <row r="17" spans="1:8" ht="15.75" x14ac:dyDescent="0.25">
      <c r="A17" s="279">
        <v>531</v>
      </c>
      <c r="B17" s="190" t="s">
        <v>428</v>
      </c>
      <c r="C17" s="185" t="s">
        <v>429</v>
      </c>
      <c r="D17" s="577">
        <v>0</v>
      </c>
      <c r="E17" s="194">
        <v>0</v>
      </c>
      <c r="F17" s="332">
        <f t="shared" si="0"/>
        <v>0</v>
      </c>
      <c r="G17" s="599"/>
    </row>
    <row r="18" spans="1:8" ht="15.75" x14ac:dyDescent="0.25">
      <c r="A18" s="279">
        <v>532</v>
      </c>
      <c r="B18" s="190" t="s">
        <v>430</v>
      </c>
      <c r="C18" s="185" t="s">
        <v>431</v>
      </c>
      <c r="D18" s="577">
        <v>20269.099999999999</v>
      </c>
      <c r="E18" s="194">
        <v>20269.099999999999</v>
      </c>
      <c r="F18" s="332">
        <f t="shared" si="0"/>
        <v>0</v>
      </c>
      <c r="G18" s="599"/>
    </row>
    <row r="19" spans="1:8" ht="15.75" x14ac:dyDescent="0.25">
      <c r="A19" s="279">
        <v>538</v>
      </c>
      <c r="B19" s="190" t="s">
        <v>432</v>
      </c>
      <c r="C19" s="185" t="s">
        <v>433</v>
      </c>
      <c r="D19" s="577">
        <v>1522.44</v>
      </c>
      <c r="E19" s="194">
        <v>158</v>
      </c>
      <c r="F19" s="332">
        <f t="shared" si="0"/>
        <v>-1364.44</v>
      </c>
      <c r="G19" s="599"/>
    </row>
    <row r="20" spans="1:8" ht="15.75" x14ac:dyDescent="0.25">
      <c r="A20" s="279">
        <v>541</v>
      </c>
      <c r="B20" s="190" t="s">
        <v>434</v>
      </c>
      <c r="C20" s="185" t="s">
        <v>435</v>
      </c>
      <c r="D20" s="577"/>
      <c r="E20" s="194"/>
      <c r="F20" s="332">
        <f t="shared" si="0"/>
        <v>0</v>
      </c>
      <c r="G20" s="599"/>
    </row>
    <row r="21" spans="1:8" ht="15.75" x14ac:dyDescent="0.25">
      <c r="A21" s="279">
        <v>542</v>
      </c>
      <c r="B21" s="190" t="s">
        <v>436</v>
      </c>
      <c r="C21" s="185" t="s">
        <v>437</v>
      </c>
      <c r="D21" s="577"/>
      <c r="E21" s="194"/>
      <c r="F21" s="332">
        <f t="shared" si="0"/>
        <v>0</v>
      </c>
      <c r="G21" s="599"/>
    </row>
    <row r="22" spans="1:8" ht="15.75" x14ac:dyDescent="0.25">
      <c r="A22" s="279">
        <v>543</v>
      </c>
      <c r="B22" s="190" t="s">
        <v>438</v>
      </c>
      <c r="C22" s="185" t="s">
        <v>439</v>
      </c>
      <c r="D22" s="577"/>
      <c r="E22" s="194"/>
      <c r="F22" s="332">
        <f t="shared" si="0"/>
        <v>0</v>
      </c>
      <c r="G22" s="599"/>
    </row>
    <row r="23" spans="1:8" ht="15.75" x14ac:dyDescent="0.25">
      <c r="A23" s="279">
        <v>544</v>
      </c>
      <c r="B23" s="190" t="s">
        <v>440</v>
      </c>
      <c r="C23" s="185" t="s">
        <v>441</v>
      </c>
      <c r="D23" s="577"/>
      <c r="E23" s="194"/>
      <c r="F23" s="332">
        <f t="shared" si="0"/>
        <v>0</v>
      </c>
      <c r="G23" s="599"/>
    </row>
    <row r="24" spans="1:8" ht="15.75" x14ac:dyDescent="0.25">
      <c r="A24" s="279">
        <v>545</v>
      </c>
      <c r="B24" s="190" t="s">
        <v>442</v>
      </c>
      <c r="C24" s="185" t="s">
        <v>443</v>
      </c>
      <c r="D24" s="577">
        <v>13.21</v>
      </c>
      <c r="E24" s="194"/>
      <c r="F24" s="332">
        <f t="shared" si="0"/>
        <v>-13.21</v>
      </c>
      <c r="G24" s="599"/>
    </row>
    <row r="25" spans="1:8" ht="15.75" x14ac:dyDescent="0.25">
      <c r="A25" s="279">
        <v>546</v>
      </c>
      <c r="B25" s="190" t="s">
        <v>444</v>
      </c>
      <c r="C25" s="185" t="s">
        <v>445</v>
      </c>
      <c r="D25" s="577"/>
      <c r="E25" s="194"/>
      <c r="F25" s="332">
        <f t="shared" si="0"/>
        <v>0</v>
      </c>
      <c r="G25" s="599"/>
    </row>
    <row r="26" spans="1:8" ht="15.75" x14ac:dyDescent="0.25">
      <c r="A26" s="279">
        <v>547</v>
      </c>
      <c r="B26" s="190" t="s">
        <v>446</v>
      </c>
      <c r="C26" s="185" t="s">
        <v>447</v>
      </c>
      <c r="D26" s="577"/>
      <c r="E26" s="194"/>
      <c r="F26" s="332">
        <f t="shared" si="0"/>
        <v>0</v>
      </c>
      <c r="G26" s="599"/>
    </row>
    <row r="27" spans="1:8" ht="15.75" x14ac:dyDescent="0.25">
      <c r="A27" s="279">
        <v>548</v>
      </c>
      <c r="B27" s="190" t="s">
        <v>448</v>
      </c>
      <c r="C27" s="185" t="s">
        <v>449</v>
      </c>
      <c r="D27" s="577"/>
      <c r="E27" s="194"/>
      <c r="F27" s="332">
        <f t="shared" si="0"/>
        <v>0</v>
      </c>
      <c r="G27" s="599"/>
    </row>
    <row r="28" spans="1:8" ht="15.75" x14ac:dyDescent="0.25">
      <c r="A28" s="279">
        <v>549</v>
      </c>
      <c r="B28" s="190" t="s">
        <v>450</v>
      </c>
      <c r="C28" s="185" t="s">
        <v>451</v>
      </c>
      <c r="D28" s="577">
        <f>'[2]T19-Štip_ z vlastných '!C6</f>
        <v>48274.22</v>
      </c>
      <c r="E28" s="622">
        <f>'T19-Štip_ z vlastných '!E6</f>
        <v>41957.840000000004</v>
      </c>
      <c r="F28" s="332">
        <f t="shared" si="0"/>
        <v>-6316.3799999999974</v>
      </c>
      <c r="G28" s="614"/>
      <c r="H28" s="600"/>
    </row>
    <row r="29" spans="1:8" ht="15.75" x14ac:dyDescent="0.25">
      <c r="A29" s="279">
        <v>551</v>
      </c>
      <c r="B29" s="190" t="s">
        <v>452</v>
      </c>
      <c r="C29" s="185" t="s">
        <v>453</v>
      </c>
      <c r="D29" s="577">
        <v>46796.44</v>
      </c>
      <c r="E29" s="194">
        <v>35900.629999999997</v>
      </c>
      <c r="F29" s="332">
        <f t="shared" si="0"/>
        <v>-10895.810000000005</v>
      </c>
      <c r="G29" s="599"/>
    </row>
    <row r="30" spans="1:8" ht="15.75" x14ac:dyDescent="0.25">
      <c r="A30" s="281">
        <v>552</v>
      </c>
      <c r="B30" s="190" t="s">
        <v>568</v>
      </c>
      <c r="C30" s="185" t="s">
        <v>454</v>
      </c>
      <c r="D30" s="577"/>
      <c r="E30" s="194"/>
      <c r="F30" s="332">
        <f t="shared" si="0"/>
        <v>0</v>
      </c>
      <c r="G30" s="599"/>
    </row>
    <row r="31" spans="1:8" ht="15.75" x14ac:dyDescent="0.25">
      <c r="A31" s="281">
        <v>553</v>
      </c>
      <c r="B31" s="190" t="s">
        <v>455</v>
      </c>
      <c r="C31" s="185" t="s">
        <v>456</v>
      </c>
      <c r="D31" s="577"/>
      <c r="E31" s="194"/>
      <c r="F31" s="332">
        <f t="shared" si="0"/>
        <v>0</v>
      </c>
      <c r="G31" s="599"/>
    </row>
    <row r="32" spans="1:8" ht="15.75" x14ac:dyDescent="0.25">
      <c r="A32" s="281">
        <v>554</v>
      </c>
      <c r="B32" s="190" t="s">
        <v>457</v>
      </c>
      <c r="C32" s="185" t="s">
        <v>458</v>
      </c>
      <c r="D32" s="577"/>
      <c r="E32" s="621"/>
      <c r="F32" s="332">
        <f t="shared" si="0"/>
        <v>0</v>
      </c>
      <c r="G32" s="599"/>
    </row>
    <row r="33" spans="1:7" ht="15.75" x14ac:dyDescent="0.25">
      <c r="A33" s="281">
        <v>555</v>
      </c>
      <c r="B33" s="190" t="s">
        <v>459</v>
      </c>
      <c r="C33" s="185" t="s">
        <v>460</v>
      </c>
      <c r="D33" s="577"/>
      <c r="E33" s="194"/>
      <c r="F33" s="332">
        <f t="shared" si="0"/>
        <v>0</v>
      </c>
      <c r="G33" s="599"/>
    </row>
    <row r="34" spans="1:7" ht="15.75" x14ac:dyDescent="0.25">
      <c r="A34" s="281">
        <v>556</v>
      </c>
      <c r="B34" s="190" t="s">
        <v>461</v>
      </c>
      <c r="C34" s="185" t="s">
        <v>462</v>
      </c>
      <c r="D34" s="577">
        <f>'[2]T5 - Analýza nákladov'!C96</f>
        <v>64729.47</v>
      </c>
      <c r="E34" s="194">
        <f>'[2]T5 - Analýza nákladov'!E96</f>
        <v>48953.37</v>
      </c>
      <c r="F34" s="332">
        <f t="shared" si="0"/>
        <v>-15776.099999999999</v>
      </c>
      <c r="G34" s="599"/>
    </row>
    <row r="35" spans="1:7" ht="15.75" x14ac:dyDescent="0.25">
      <c r="A35" s="281">
        <v>557</v>
      </c>
      <c r="B35" s="190" t="s">
        <v>463</v>
      </c>
      <c r="C35" s="185" t="s">
        <v>464</v>
      </c>
      <c r="D35" s="577"/>
      <c r="E35" s="194"/>
      <c r="F35" s="332">
        <f t="shared" si="0"/>
        <v>0</v>
      </c>
      <c r="G35" s="599"/>
    </row>
    <row r="36" spans="1:7" ht="15.75" x14ac:dyDescent="0.25">
      <c r="A36" s="281">
        <v>558</v>
      </c>
      <c r="B36" s="190" t="s">
        <v>465</v>
      </c>
      <c r="C36" s="185" t="s">
        <v>466</v>
      </c>
      <c r="D36" s="577"/>
      <c r="E36" s="194"/>
      <c r="F36" s="332">
        <f t="shared" si="0"/>
        <v>0</v>
      </c>
      <c r="G36" s="599"/>
    </row>
    <row r="37" spans="1:7" ht="20.25" customHeight="1" x14ac:dyDescent="0.25">
      <c r="A37" s="281">
        <v>561</v>
      </c>
      <c r="B37" s="190" t="s">
        <v>468</v>
      </c>
      <c r="C37" s="185" t="s">
        <v>467</v>
      </c>
      <c r="D37" s="577"/>
      <c r="E37" s="194"/>
      <c r="F37" s="332">
        <f t="shared" si="0"/>
        <v>0</v>
      </c>
      <c r="G37" s="599"/>
    </row>
    <row r="38" spans="1:7" ht="15.75" x14ac:dyDescent="0.25">
      <c r="A38" s="281">
        <v>562</v>
      </c>
      <c r="B38" s="190" t="s">
        <v>470</v>
      </c>
      <c r="C38" s="185" t="s">
        <v>469</v>
      </c>
      <c r="D38" s="577">
        <v>16495</v>
      </c>
      <c r="E38" s="194">
        <v>18493</v>
      </c>
      <c r="F38" s="332">
        <f t="shared" si="0"/>
        <v>1998</v>
      </c>
      <c r="G38" s="599"/>
    </row>
    <row r="39" spans="1:7" ht="15.75" x14ac:dyDescent="0.25">
      <c r="A39" s="281">
        <v>563</v>
      </c>
      <c r="B39" s="190" t="s">
        <v>472</v>
      </c>
      <c r="C39" s="185" t="s">
        <v>471</v>
      </c>
      <c r="D39" s="577"/>
      <c r="E39" s="194"/>
      <c r="F39" s="332">
        <f t="shared" si="0"/>
        <v>0</v>
      </c>
      <c r="G39" s="599"/>
    </row>
    <row r="40" spans="1:7" ht="15.75" x14ac:dyDescent="0.25">
      <c r="A40" s="282">
        <v>565</v>
      </c>
      <c r="B40" s="286" t="s">
        <v>567</v>
      </c>
      <c r="C40" s="185" t="s">
        <v>473</v>
      </c>
      <c r="D40" s="578"/>
      <c r="E40" s="195"/>
      <c r="F40" s="332">
        <f t="shared" si="0"/>
        <v>0</v>
      </c>
      <c r="G40" s="599"/>
    </row>
    <row r="41" spans="1:7" ht="16.5" thickBot="1" x14ac:dyDescent="0.3">
      <c r="A41" s="282">
        <v>567</v>
      </c>
      <c r="B41" s="191" t="s">
        <v>474</v>
      </c>
      <c r="C41" s="186" t="s">
        <v>475</v>
      </c>
      <c r="D41" s="578"/>
      <c r="E41" s="195"/>
      <c r="F41" s="333">
        <f t="shared" si="0"/>
        <v>0</v>
      </c>
      <c r="G41" s="599"/>
    </row>
    <row r="42" spans="1:7" ht="24.75" customHeight="1" thickBot="1" x14ac:dyDescent="0.25">
      <c r="A42" s="844" t="s">
        <v>595</v>
      </c>
      <c r="B42" s="845"/>
      <c r="C42" s="278" t="s">
        <v>476</v>
      </c>
      <c r="D42" s="187">
        <f>SUM(D5:D41)</f>
        <v>1796979.93</v>
      </c>
      <c r="E42" s="328">
        <f>SUM(E5:E41)</f>
        <v>1907081.1300000001</v>
      </c>
      <c r="F42" s="334">
        <f>SUM(F5:F41)</f>
        <v>110101.20000000001</v>
      </c>
      <c r="G42" s="599"/>
    </row>
    <row r="43" spans="1:7" x14ac:dyDescent="0.2">
      <c r="B43" s="174"/>
      <c r="C43" s="174"/>
      <c r="D43" s="174"/>
      <c r="E43" s="174"/>
    </row>
  </sheetData>
  <mergeCells count="3">
    <mergeCell ref="A2:F2"/>
    <mergeCell ref="A1:F1"/>
    <mergeCell ref="A42:B42"/>
  </mergeCells>
  <pageMargins left="0.39370078740157483" right="0.23622047244094491" top="0.59055118110236227" bottom="0.74803149606299213" header="0.31496062992125984" footer="0.31496062992125984"/>
  <pageSetup paperSize="9" scale="86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sqref="A1:F1"/>
    </sheetView>
  </sheetViews>
  <sheetFormatPr defaultRowHeight="12.75" x14ac:dyDescent="0.2"/>
  <cols>
    <col min="1" max="1" width="60.85546875" customWidth="1"/>
    <col min="2" max="2" width="8.85546875" customWidth="1"/>
    <col min="3" max="3" width="13.140625" customWidth="1"/>
    <col min="4" max="4" width="14.7109375" customWidth="1"/>
    <col min="5" max="5" width="14.28515625" customWidth="1"/>
    <col min="6" max="6" width="13.7109375" customWidth="1"/>
  </cols>
  <sheetData>
    <row r="1" spans="1:6" ht="45.75" customHeight="1" x14ac:dyDescent="0.2">
      <c r="A1" s="847" t="s">
        <v>400</v>
      </c>
      <c r="B1" s="848"/>
      <c r="C1" s="848"/>
      <c r="D1" s="848"/>
      <c r="E1" s="848"/>
      <c r="F1" s="849"/>
    </row>
    <row r="2" spans="1:6" ht="19.5" customHeight="1" x14ac:dyDescent="0.25">
      <c r="A2" s="846" t="s">
        <v>270</v>
      </c>
      <c r="B2" s="846"/>
      <c r="C2" s="846"/>
      <c r="D2" s="846"/>
      <c r="E2" s="846"/>
      <c r="F2" s="846"/>
    </row>
    <row r="3" spans="1:6" ht="42" customHeight="1" x14ac:dyDescent="0.2">
      <c r="A3" s="175" t="s">
        <v>278</v>
      </c>
      <c r="B3" s="176" t="s">
        <v>279</v>
      </c>
      <c r="C3" s="183" t="s">
        <v>402</v>
      </c>
      <c r="D3" s="176" t="s">
        <v>397</v>
      </c>
      <c r="E3" s="176" t="s">
        <v>398</v>
      </c>
      <c r="F3" s="176" t="s">
        <v>399</v>
      </c>
    </row>
    <row r="4" spans="1:6" ht="15.75" x14ac:dyDescent="0.25">
      <c r="A4" s="177" t="s">
        <v>280</v>
      </c>
      <c r="B4" s="177" t="s">
        <v>281</v>
      </c>
      <c r="C4" s="178"/>
      <c r="D4" s="178"/>
      <c r="E4" s="178"/>
      <c r="F4" s="178"/>
    </row>
    <row r="5" spans="1:6" ht="15.75" x14ac:dyDescent="0.25">
      <c r="A5" s="182" t="s">
        <v>282</v>
      </c>
      <c r="B5" s="177" t="s">
        <v>283</v>
      </c>
      <c r="C5" s="178"/>
      <c r="D5" s="178"/>
      <c r="E5" s="178"/>
      <c r="F5" s="178"/>
    </row>
    <row r="6" spans="1:6" ht="15.75" x14ac:dyDescent="0.25">
      <c r="A6" s="177" t="s">
        <v>284</v>
      </c>
      <c r="B6" s="177" t="s">
        <v>285</v>
      </c>
      <c r="C6" s="178"/>
      <c r="D6" s="178"/>
      <c r="E6" s="178"/>
      <c r="F6" s="178"/>
    </row>
    <row r="7" spans="1:6" ht="15.75" x14ac:dyDescent="0.25">
      <c r="A7" s="177" t="s">
        <v>286</v>
      </c>
      <c r="B7" s="177" t="s">
        <v>287</v>
      </c>
      <c r="C7" s="178"/>
      <c r="D7" s="178"/>
      <c r="E7" s="178"/>
      <c r="F7" s="178"/>
    </row>
    <row r="8" spans="1:6" ht="15.75" x14ac:dyDescent="0.25">
      <c r="A8" s="181" t="s">
        <v>401</v>
      </c>
      <c r="B8" s="177" t="s">
        <v>288</v>
      </c>
      <c r="C8" s="178"/>
      <c r="D8" s="178"/>
      <c r="E8" s="178"/>
      <c r="F8" s="178"/>
    </row>
    <row r="9" spans="1:6" ht="15.75" x14ac:dyDescent="0.25">
      <c r="A9" s="177" t="s">
        <v>289</v>
      </c>
      <c r="B9" s="177" t="s">
        <v>290</v>
      </c>
      <c r="C9" s="178"/>
      <c r="D9" s="178"/>
      <c r="E9" s="178"/>
      <c r="F9" s="178"/>
    </row>
    <row r="10" spans="1:6" ht="15.75" x14ac:dyDescent="0.25">
      <c r="A10" s="177" t="s">
        <v>291</v>
      </c>
      <c r="B10" s="177" t="s">
        <v>292</v>
      </c>
      <c r="C10" s="178"/>
      <c r="D10" s="178"/>
      <c r="E10" s="178"/>
      <c r="F10" s="178"/>
    </row>
    <row r="11" spans="1:6" ht="15.75" x14ac:dyDescent="0.25">
      <c r="A11" s="177" t="s">
        <v>293</v>
      </c>
      <c r="B11" s="177" t="s">
        <v>294</v>
      </c>
      <c r="C11" s="178"/>
      <c r="D11" s="178"/>
      <c r="E11" s="178"/>
      <c r="F11" s="178"/>
    </row>
    <row r="12" spans="1:6" ht="15.75" x14ac:dyDescent="0.25">
      <c r="A12" s="182" t="s">
        <v>295</v>
      </c>
      <c r="B12" s="177" t="s">
        <v>296</v>
      </c>
      <c r="C12" s="178"/>
      <c r="D12" s="178"/>
      <c r="E12" s="178"/>
      <c r="F12" s="178"/>
    </row>
    <row r="13" spans="1:6" ht="15.75" x14ac:dyDescent="0.25">
      <c r="A13" s="177" t="s">
        <v>297</v>
      </c>
      <c r="B13" s="177" t="s">
        <v>298</v>
      </c>
      <c r="C13" s="178"/>
      <c r="D13" s="178"/>
      <c r="E13" s="178"/>
      <c r="F13" s="178"/>
    </row>
    <row r="14" spans="1:6" ht="15.75" x14ac:dyDescent="0.25">
      <c r="A14" s="177" t="s">
        <v>299</v>
      </c>
      <c r="B14" s="177" t="s">
        <v>300</v>
      </c>
      <c r="C14" s="178"/>
      <c r="D14" s="178"/>
      <c r="E14" s="178"/>
      <c r="F14" s="178"/>
    </row>
    <row r="15" spans="1:6" ht="15.75" x14ac:dyDescent="0.25">
      <c r="A15" s="177" t="s">
        <v>301</v>
      </c>
      <c r="B15" s="177" t="s">
        <v>302</v>
      </c>
      <c r="C15" s="178"/>
      <c r="D15" s="178"/>
      <c r="E15" s="178"/>
      <c r="F15" s="178"/>
    </row>
    <row r="16" spans="1:6" ht="15.75" x14ac:dyDescent="0.25">
      <c r="A16" s="177" t="s">
        <v>303</v>
      </c>
      <c r="B16" s="177" t="s">
        <v>304</v>
      </c>
      <c r="C16" s="178"/>
      <c r="D16" s="178"/>
      <c r="E16" s="178"/>
      <c r="F16" s="178"/>
    </row>
    <row r="17" spans="1:6" ht="15.75" x14ac:dyDescent="0.25">
      <c r="A17" s="177" t="s">
        <v>305</v>
      </c>
      <c r="B17" s="177" t="s">
        <v>306</v>
      </c>
      <c r="C17" s="178"/>
      <c r="D17" s="178"/>
      <c r="E17" s="178"/>
      <c r="F17" s="178"/>
    </row>
    <row r="18" spans="1:6" ht="15.75" x14ac:dyDescent="0.25">
      <c r="A18" s="177" t="s">
        <v>307</v>
      </c>
      <c r="B18" s="177" t="s">
        <v>308</v>
      </c>
      <c r="C18" s="178"/>
      <c r="D18" s="178"/>
      <c r="E18" s="178"/>
      <c r="F18" s="178"/>
    </row>
    <row r="19" spans="1:6" ht="15.75" x14ac:dyDescent="0.25">
      <c r="A19" s="177" t="s">
        <v>309</v>
      </c>
      <c r="B19" s="177" t="s">
        <v>310</v>
      </c>
      <c r="C19" s="178"/>
      <c r="D19" s="178"/>
      <c r="E19" s="178"/>
      <c r="F19" s="178"/>
    </row>
    <row r="20" spans="1:6" ht="15.75" x14ac:dyDescent="0.25">
      <c r="A20" s="177" t="s">
        <v>311</v>
      </c>
      <c r="B20" s="177" t="s">
        <v>312</v>
      </c>
      <c r="C20" s="178"/>
      <c r="D20" s="178"/>
      <c r="E20" s="178"/>
      <c r="F20" s="178"/>
    </row>
    <row r="21" spans="1:6" ht="15.75" x14ac:dyDescent="0.25">
      <c r="A21" s="177" t="s">
        <v>313</v>
      </c>
      <c r="B21" s="177" t="s">
        <v>314</v>
      </c>
      <c r="C21" s="178"/>
      <c r="D21" s="178"/>
      <c r="E21" s="178"/>
      <c r="F21" s="178"/>
    </row>
    <row r="22" spans="1:6" ht="15.75" x14ac:dyDescent="0.25">
      <c r="A22" s="177" t="s">
        <v>315</v>
      </c>
      <c r="B22" s="177" t="s">
        <v>316</v>
      </c>
      <c r="C22" s="178"/>
      <c r="D22" s="178"/>
      <c r="E22" s="178"/>
      <c r="F22" s="178"/>
    </row>
    <row r="23" spans="1:6" ht="15.75" x14ac:dyDescent="0.25">
      <c r="A23" s="177" t="s">
        <v>317</v>
      </c>
      <c r="B23" s="177" t="s">
        <v>318</v>
      </c>
      <c r="C23" s="178"/>
      <c r="D23" s="178"/>
      <c r="E23" s="178"/>
      <c r="F23" s="178"/>
    </row>
    <row r="24" spans="1:6" ht="15.75" x14ac:dyDescent="0.25">
      <c r="A24" s="182" t="s">
        <v>319</v>
      </c>
      <c r="B24" s="177" t="s">
        <v>320</v>
      </c>
      <c r="C24" s="178"/>
      <c r="D24" s="178"/>
      <c r="E24" s="178"/>
      <c r="F24" s="178"/>
    </row>
    <row r="25" spans="1:6" ht="15.75" x14ac:dyDescent="0.25">
      <c r="A25" s="177" t="s">
        <v>321</v>
      </c>
      <c r="B25" s="177" t="s">
        <v>322</v>
      </c>
      <c r="C25" s="178"/>
      <c r="D25" s="178"/>
      <c r="E25" s="178"/>
      <c r="F25" s="178"/>
    </row>
    <row r="26" spans="1:6" ht="15.75" x14ac:dyDescent="0.25">
      <c r="A26" s="177" t="s">
        <v>323</v>
      </c>
      <c r="B26" s="177" t="s">
        <v>324</v>
      </c>
      <c r="C26" s="178"/>
      <c r="D26" s="178"/>
      <c r="E26" s="178"/>
      <c r="F26" s="178"/>
    </row>
    <row r="27" spans="1:6" ht="15.75" x14ac:dyDescent="0.25">
      <c r="A27" s="177" t="s">
        <v>325</v>
      </c>
      <c r="B27" s="177" t="s">
        <v>326</v>
      </c>
      <c r="C27" s="178"/>
      <c r="D27" s="178"/>
      <c r="E27" s="178"/>
      <c r="F27" s="178"/>
    </row>
    <row r="28" spans="1:6" ht="15.75" x14ac:dyDescent="0.25">
      <c r="A28" s="177" t="s">
        <v>327</v>
      </c>
      <c r="B28" s="177" t="s">
        <v>328</v>
      </c>
      <c r="C28" s="178"/>
      <c r="D28" s="178"/>
      <c r="E28" s="178"/>
      <c r="F28" s="178"/>
    </row>
    <row r="29" spans="1:6" ht="15.75" x14ac:dyDescent="0.25">
      <c r="A29" s="177" t="s">
        <v>329</v>
      </c>
      <c r="B29" s="177" t="s">
        <v>330</v>
      </c>
      <c r="C29" s="178"/>
      <c r="D29" s="178"/>
      <c r="E29" s="178"/>
      <c r="F29" s="178"/>
    </row>
    <row r="30" spans="1:6" ht="15.75" x14ac:dyDescent="0.25">
      <c r="A30" s="177" t="s">
        <v>331</v>
      </c>
      <c r="B30" s="177" t="s">
        <v>332</v>
      </c>
      <c r="C30" s="178"/>
      <c r="D30" s="178"/>
      <c r="E30" s="178"/>
      <c r="F30" s="178"/>
    </row>
    <row r="31" spans="1:6" ht="15.75" x14ac:dyDescent="0.25">
      <c r="A31" s="177" t="s">
        <v>333</v>
      </c>
      <c r="B31" s="177" t="s">
        <v>334</v>
      </c>
      <c r="C31" s="178"/>
      <c r="D31" s="178"/>
      <c r="E31" s="178"/>
      <c r="F31" s="178"/>
    </row>
    <row r="32" spans="1:6" ht="15.75" x14ac:dyDescent="0.25">
      <c r="A32" s="177" t="s">
        <v>335</v>
      </c>
      <c r="B32" s="177" t="s">
        <v>336</v>
      </c>
      <c r="C32" s="178"/>
      <c r="D32" s="178"/>
      <c r="E32" s="178"/>
      <c r="F32" s="178"/>
    </row>
    <row r="33" spans="1:6" ht="15.75" x14ac:dyDescent="0.25">
      <c r="A33" s="182" t="s">
        <v>337</v>
      </c>
      <c r="B33" s="177" t="s">
        <v>338</v>
      </c>
      <c r="C33" s="178"/>
      <c r="D33" s="178"/>
      <c r="E33" s="178"/>
      <c r="F33" s="178"/>
    </row>
    <row r="34" spans="1:6" ht="15.75" x14ac:dyDescent="0.25">
      <c r="A34" s="177" t="s">
        <v>339</v>
      </c>
      <c r="B34" s="177" t="s">
        <v>340</v>
      </c>
      <c r="C34" s="178"/>
      <c r="D34" s="178"/>
      <c r="E34" s="178"/>
      <c r="F34" s="178"/>
    </row>
    <row r="35" spans="1:6" ht="15.75" x14ac:dyDescent="0.25">
      <c r="A35" s="177" t="s">
        <v>341</v>
      </c>
      <c r="B35" s="177" t="s">
        <v>342</v>
      </c>
      <c r="C35" s="178"/>
      <c r="D35" s="178"/>
      <c r="E35" s="178"/>
      <c r="F35" s="178"/>
    </row>
    <row r="36" spans="1:6" ht="15.75" x14ac:dyDescent="0.25">
      <c r="A36" s="177" t="s">
        <v>343</v>
      </c>
      <c r="B36" s="177" t="s">
        <v>344</v>
      </c>
      <c r="C36" s="178"/>
      <c r="D36" s="178"/>
      <c r="E36" s="178"/>
      <c r="F36" s="178"/>
    </row>
    <row r="37" spans="1:6" ht="15.75" x14ac:dyDescent="0.25">
      <c r="A37" s="177" t="s">
        <v>345</v>
      </c>
      <c r="B37" s="177" t="s">
        <v>346</v>
      </c>
      <c r="C37" s="178"/>
      <c r="D37" s="178"/>
      <c r="E37" s="178"/>
      <c r="F37" s="178"/>
    </row>
    <row r="38" spans="1:6" ht="15.75" x14ac:dyDescent="0.25">
      <c r="A38" s="177" t="s">
        <v>347</v>
      </c>
      <c r="B38" s="177" t="s">
        <v>348</v>
      </c>
      <c r="C38" s="178"/>
      <c r="D38" s="178"/>
      <c r="E38" s="178"/>
      <c r="F38" s="178"/>
    </row>
    <row r="39" spans="1:6" ht="15.75" x14ac:dyDescent="0.25">
      <c r="A39" s="177" t="s">
        <v>349</v>
      </c>
      <c r="B39" s="177" t="s">
        <v>350</v>
      </c>
      <c r="C39" s="178"/>
      <c r="D39" s="178"/>
      <c r="E39" s="178"/>
      <c r="F39" s="178"/>
    </row>
    <row r="40" spans="1:6" ht="15.75" x14ac:dyDescent="0.25">
      <c r="A40" s="182" t="s">
        <v>351</v>
      </c>
      <c r="B40" s="177" t="s">
        <v>352</v>
      </c>
      <c r="C40" s="178"/>
      <c r="D40" s="178"/>
      <c r="E40" s="178"/>
      <c r="F40" s="178"/>
    </row>
    <row r="41" spans="1:6" ht="15.75" x14ac:dyDescent="0.25">
      <c r="A41" s="177" t="s">
        <v>353</v>
      </c>
      <c r="B41" s="177" t="s">
        <v>354</v>
      </c>
      <c r="C41" s="178"/>
      <c r="D41" s="178"/>
      <c r="E41" s="178"/>
      <c r="F41" s="178"/>
    </row>
    <row r="42" spans="1:6" ht="15.75" x14ac:dyDescent="0.25">
      <c r="A42" s="177" t="s">
        <v>355</v>
      </c>
      <c r="B42" s="177" t="s">
        <v>356</v>
      </c>
      <c r="C42" s="178"/>
      <c r="D42" s="178"/>
      <c r="E42" s="178"/>
      <c r="F42" s="178"/>
    </row>
    <row r="43" spans="1:6" ht="15.75" x14ac:dyDescent="0.25">
      <c r="A43" s="177" t="s">
        <v>357</v>
      </c>
      <c r="B43" s="177" t="s">
        <v>358</v>
      </c>
      <c r="C43" s="178"/>
      <c r="D43" s="178"/>
      <c r="E43" s="178"/>
      <c r="F43" s="178"/>
    </row>
    <row r="44" spans="1:6" ht="15.75" x14ac:dyDescent="0.25">
      <c r="A44" s="177" t="s">
        <v>359</v>
      </c>
      <c r="B44" s="177" t="s">
        <v>360</v>
      </c>
      <c r="C44" s="178"/>
      <c r="D44" s="178"/>
      <c r="E44" s="178"/>
      <c r="F44" s="178"/>
    </row>
    <row r="45" spans="1:6" ht="15.75" x14ac:dyDescent="0.25">
      <c r="A45" s="182" t="s">
        <v>361</v>
      </c>
      <c r="B45" s="177" t="s">
        <v>362</v>
      </c>
      <c r="C45" s="178"/>
      <c r="D45" s="178"/>
      <c r="E45" s="178"/>
      <c r="F45" s="178"/>
    </row>
    <row r="46" spans="1:6" ht="15.75" x14ac:dyDescent="0.25">
      <c r="A46" s="177" t="s">
        <v>363</v>
      </c>
      <c r="B46" s="177" t="s">
        <v>364</v>
      </c>
      <c r="C46" s="178"/>
      <c r="D46" s="178"/>
      <c r="E46" s="178"/>
      <c r="F46" s="178"/>
    </row>
    <row r="47" spans="1:6" ht="15.75" x14ac:dyDescent="0.25">
      <c r="A47" s="177" t="s">
        <v>355</v>
      </c>
      <c r="B47" s="177" t="s">
        <v>365</v>
      </c>
      <c r="C47" s="178"/>
      <c r="D47" s="178"/>
      <c r="E47" s="178"/>
      <c r="F47" s="178"/>
    </row>
    <row r="48" spans="1:6" ht="15.75" x14ac:dyDescent="0.25">
      <c r="A48" s="177" t="s">
        <v>366</v>
      </c>
      <c r="B48" s="177" t="s">
        <v>367</v>
      </c>
      <c r="C48" s="178"/>
      <c r="D48" s="178"/>
      <c r="E48" s="178"/>
      <c r="F48" s="178"/>
    </row>
    <row r="49" spans="1:6" ht="15.75" x14ac:dyDescent="0.25">
      <c r="A49" s="177" t="s">
        <v>368</v>
      </c>
      <c r="B49" s="177" t="s">
        <v>369</v>
      </c>
      <c r="C49" s="178"/>
      <c r="D49" s="178"/>
      <c r="E49" s="178"/>
      <c r="F49" s="178"/>
    </row>
    <row r="50" spans="1:6" ht="15.75" x14ac:dyDescent="0.25">
      <c r="A50" s="177" t="s">
        <v>370</v>
      </c>
      <c r="B50" s="177" t="s">
        <v>371</v>
      </c>
      <c r="C50" s="178"/>
      <c r="D50" s="178"/>
      <c r="E50" s="178"/>
      <c r="F50" s="178"/>
    </row>
    <row r="51" spans="1:6" ht="15.75" x14ac:dyDescent="0.25">
      <c r="A51" s="177" t="s">
        <v>357</v>
      </c>
      <c r="B51" s="177" t="s">
        <v>372</v>
      </c>
      <c r="C51" s="178"/>
      <c r="D51" s="178"/>
      <c r="E51" s="178"/>
      <c r="F51" s="178"/>
    </row>
    <row r="52" spans="1:6" ht="15.75" x14ac:dyDescent="0.25">
      <c r="A52" s="177" t="s">
        <v>373</v>
      </c>
      <c r="B52" s="177" t="s">
        <v>374</v>
      </c>
      <c r="C52" s="178"/>
      <c r="D52" s="178"/>
      <c r="E52" s="178"/>
      <c r="F52" s="178"/>
    </row>
    <row r="53" spans="1:6" ht="15.75" x14ac:dyDescent="0.25">
      <c r="A53" s="177" t="s">
        <v>359</v>
      </c>
      <c r="B53" s="177" t="s">
        <v>375</v>
      </c>
      <c r="C53" s="178"/>
      <c r="D53" s="178"/>
      <c r="E53" s="178"/>
      <c r="F53" s="178"/>
    </row>
    <row r="54" spans="1:6" ht="15.75" x14ac:dyDescent="0.25">
      <c r="A54" s="182" t="s">
        <v>376</v>
      </c>
      <c r="B54" s="177" t="s">
        <v>377</v>
      </c>
      <c r="C54" s="178"/>
      <c r="D54" s="178"/>
      <c r="E54" s="178"/>
      <c r="F54" s="178"/>
    </row>
    <row r="55" spans="1:6" ht="15.75" x14ac:dyDescent="0.25">
      <c r="A55" s="177" t="s">
        <v>378</v>
      </c>
      <c r="B55" s="177" t="s">
        <v>379</v>
      </c>
      <c r="C55" s="178"/>
      <c r="D55" s="178"/>
      <c r="E55" s="178"/>
      <c r="F55" s="178"/>
    </row>
    <row r="56" spans="1:6" ht="15.75" x14ac:dyDescent="0.25">
      <c r="A56" s="177" t="s">
        <v>380</v>
      </c>
      <c r="B56" s="177" t="s">
        <v>381</v>
      </c>
      <c r="C56" s="178"/>
      <c r="D56" s="178"/>
      <c r="E56" s="178"/>
      <c r="F56" s="178"/>
    </row>
    <row r="57" spans="1:6" ht="15.75" x14ac:dyDescent="0.25">
      <c r="A57" s="177" t="s">
        <v>382</v>
      </c>
      <c r="B57" s="177" t="s">
        <v>383</v>
      </c>
      <c r="C57" s="178"/>
      <c r="D57" s="178"/>
      <c r="E57" s="178"/>
      <c r="F57" s="178"/>
    </row>
    <row r="58" spans="1:6" ht="15.75" x14ac:dyDescent="0.25">
      <c r="A58" s="177" t="s">
        <v>384</v>
      </c>
      <c r="B58" s="177" t="s">
        <v>385</v>
      </c>
      <c r="C58" s="178"/>
      <c r="D58" s="178"/>
      <c r="E58" s="178"/>
      <c r="F58" s="178"/>
    </row>
    <row r="59" spans="1:6" ht="15.75" x14ac:dyDescent="0.25">
      <c r="A59" s="177" t="s">
        <v>386</v>
      </c>
      <c r="B59" s="177" t="s">
        <v>387</v>
      </c>
      <c r="C59" s="178"/>
      <c r="D59" s="178"/>
      <c r="E59" s="178"/>
      <c r="F59" s="178"/>
    </row>
    <row r="60" spans="1:6" ht="15.75" x14ac:dyDescent="0.25">
      <c r="A60" s="177" t="s">
        <v>388</v>
      </c>
      <c r="B60" s="177" t="s">
        <v>389</v>
      </c>
      <c r="C60" s="178"/>
      <c r="D60" s="178"/>
      <c r="E60" s="178"/>
      <c r="F60" s="178"/>
    </row>
    <row r="61" spans="1:6" ht="15.75" x14ac:dyDescent="0.25">
      <c r="A61" s="182" t="s">
        <v>390</v>
      </c>
      <c r="B61" s="177" t="s">
        <v>391</v>
      </c>
      <c r="C61" s="178"/>
      <c r="D61" s="178"/>
      <c r="E61" s="178"/>
      <c r="F61" s="178"/>
    </row>
    <row r="62" spans="1:6" ht="15.75" x14ac:dyDescent="0.25">
      <c r="A62" s="177" t="s">
        <v>392</v>
      </c>
      <c r="B62" s="177" t="s">
        <v>393</v>
      </c>
      <c r="C62" s="178"/>
      <c r="D62" s="178"/>
      <c r="E62" s="178"/>
      <c r="F62" s="178"/>
    </row>
    <row r="63" spans="1:6" ht="15.75" x14ac:dyDescent="0.25">
      <c r="A63" s="177" t="s">
        <v>394</v>
      </c>
      <c r="B63" s="177" t="s">
        <v>395</v>
      </c>
      <c r="C63" s="178"/>
      <c r="D63" s="178"/>
      <c r="E63" s="178"/>
      <c r="F63" s="178"/>
    </row>
    <row r="64" spans="1:6" ht="15.75" x14ac:dyDescent="0.25">
      <c r="A64" s="179" t="s">
        <v>396</v>
      </c>
      <c r="B64" s="180"/>
      <c r="C64" s="178"/>
      <c r="D64" s="178"/>
      <c r="E64" s="178"/>
      <c r="F64" s="178"/>
    </row>
    <row r="65" spans="1:6" ht="15.75" x14ac:dyDescent="0.25">
      <c r="A65" s="94"/>
      <c r="B65" s="94"/>
      <c r="C65" s="94"/>
      <c r="D65" s="94"/>
      <c r="E65" s="94"/>
      <c r="F65" s="94"/>
    </row>
    <row r="66" spans="1:6" ht="15.75" x14ac:dyDescent="0.25">
      <c r="A66" s="94"/>
      <c r="B66" s="94"/>
      <c r="C66" s="94"/>
      <c r="D66" s="94"/>
      <c r="E66" s="94"/>
      <c r="F66" s="94"/>
    </row>
    <row r="67" spans="1:6" ht="15.75" x14ac:dyDescent="0.25">
      <c r="A67" s="94"/>
      <c r="B67" s="94"/>
      <c r="C67" s="94"/>
      <c r="D67" s="94"/>
      <c r="E67" s="94"/>
      <c r="F67" s="94"/>
    </row>
  </sheetData>
  <mergeCells count="2"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76"/>
  <sheetViews>
    <sheetView zoomScaleNormal="100" workbookViewId="0">
      <pane xSplit="2" ySplit="5" topLeftCell="C55" activePane="bottomRight" state="frozen"/>
      <selection pane="topRight" activeCell="C1" sqref="C1"/>
      <selection pane="bottomLeft" activeCell="A6" sqref="A6"/>
      <selection pane="bottomRight" activeCell="B76" sqref="B76"/>
    </sheetView>
  </sheetViews>
  <sheetFormatPr defaultRowHeight="15.75" x14ac:dyDescent="0.25"/>
  <cols>
    <col min="1" max="1" width="7.85546875" style="3" customWidth="1"/>
    <col min="2" max="2" width="79.85546875" style="130" customWidth="1"/>
    <col min="3" max="3" width="16.42578125" style="131" customWidth="1"/>
    <col min="4" max="4" width="16.5703125" style="131" customWidth="1"/>
    <col min="5" max="5" width="16.42578125" style="131" customWidth="1"/>
    <col min="6" max="6" width="19.140625" style="131" customWidth="1"/>
    <col min="7" max="7" width="16.85546875" style="131" customWidth="1"/>
    <col min="8" max="8" width="17.28515625" style="131" customWidth="1"/>
    <col min="9" max="9" width="21.42578125" style="1" bestFit="1" customWidth="1"/>
    <col min="10" max="16384" width="9.140625" style="1"/>
  </cols>
  <sheetData>
    <row r="1" spans="1:9" ht="35.1" customHeight="1" thickBot="1" x14ac:dyDescent="0.3">
      <c r="A1" s="644" t="s">
        <v>751</v>
      </c>
      <c r="B1" s="645"/>
      <c r="C1" s="645"/>
      <c r="D1" s="645"/>
      <c r="E1" s="645"/>
      <c r="F1" s="645"/>
      <c r="G1" s="645"/>
      <c r="H1" s="646"/>
      <c r="I1" s="212"/>
    </row>
    <row r="2" spans="1:9" ht="31.9" customHeight="1" x14ac:dyDescent="0.25">
      <c r="A2" s="647" t="s">
        <v>874</v>
      </c>
      <c r="B2" s="648"/>
      <c r="C2" s="648"/>
      <c r="D2" s="648"/>
      <c r="E2" s="648"/>
      <c r="F2" s="648"/>
      <c r="G2" s="648"/>
      <c r="H2" s="649"/>
    </row>
    <row r="3" spans="1:9" ht="24" customHeight="1" x14ac:dyDescent="0.25">
      <c r="A3" s="650" t="s">
        <v>133</v>
      </c>
      <c r="B3" s="651" t="s">
        <v>215</v>
      </c>
      <c r="C3" s="653">
        <v>2017</v>
      </c>
      <c r="D3" s="654"/>
      <c r="E3" s="653">
        <v>2018</v>
      </c>
      <c r="F3" s="654"/>
      <c r="G3" s="653" t="s">
        <v>752</v>
      </c>
      <c r="H3" s="655"/>
    </row>
    <row r="4" spans="1:9" s="10" customFormat="1" ht="31.5" x14ac:dyDescent="0.25">
      <c r="A4" s="650"/>
      <c r="B4" s="652"/>
      <c r="C4" s="369" t="s">
        <v>216</v>
      </c>
      <c r="D4" s="369" t="s">
        <v>217</v>
      </c>
      <c r="E4" s="369" t="s">
        <v>216</v>
      </c>
      <c r="F4" s="369" t="s">
        <v>217</v>
      </c>
      <c r="G4" s="369" t="s">
        <v>216</v>
      </c>
      <c r="H4" s="370" t="s">
        <v>217</v>
      </c>
      <c r="I4" s="1"/>
    </row>
    <row r="5" spans="1:9" s="10" customFormat="1" x14ac:dyDescent="0.25">
      <c r="A5" s="368"/>
      <c r="B5" s="337"/>
      <c r="C5" s="369" t="s">
        <v>180</v>
      </c>
      <c r="D5" s="369" t="s">
        <v>181</v>
      </c>
      <c r="E5" s="369" t="s">
        <v>182</v>
      </c>
      <c r="F5" s="369" t="s">
        <v>188</v>
      </c>
      <c r="G5" s="369" t="s">
        <v>14</v>
      </c>
      <c r="H5" s="370" t="s">
        <v>15</v>
      </c>
      <c r="I5" s="422"/>
    </row>
    <row r="6" spans="1:9" x14ac:dyDescent="0.25">
      <c r="A6" s="33">
        <v>1</v>
      </c>
      <c r="B6" s="64" t="s">
        <v>158</v>
      </c>
      <c r="C6" s="504">
        <f>SUM(C7:C10)</f>
        <v>256392.98</v>
      </c>
      <c r="D6" s="504">
        <f t="shared" ref="D6:F6" si="0">SUM(D7:D10)</f>
        <v>487949.03</v>
      </c>
      <c r="E6" s="504">
        <f t="shared" si="0"/>
        <v>272513.24</v>
      </c>
      <c r="F6" s="504">
        <f t="shared" si="0"/>
        <v>474956.73000000004</v>
      </c>
      <c r="G6" s="164">
        <f>E6-C6</f>
        <v>16120.25999999998</v>
      </c>
      <c r="H6" s="165">
        <f t="shared" ref="G6:H70" si="1">F6-D6</f>
        <v>-12992.299999999988</v>
      </c>
    </row>
    <row r="7" spans="1:9" x14ac:dyDescent="0.25">
      <c r="A7" s="33">
        <f>A6+1</f>
        <v>2</v>
      </c>
      <c r="B7" s="317" t="s">
        <v>173</v>
      </c>
      <c r="C7" s="505"/>
      <c r="D7" s="505"/>
      <c r="E7" s="505"/>
      <c r="F7" s="505"/>
      <c r="G7" s="164">
        <f t="shared" si="1"/>
        <v>0</v>
      </c>
      <c r="H7" s="165">
        <f t="shared" si="1"/>
        <v>0</v>
      </c>
      <c r="I7" s="371"/>
    </row>
    <row r="8" spans="1:9" x14ac:dyDescent="0.25">
      <c r="A8" s="33">
        <f t="shared" ref="A8:A70" si="2">A7+1</f>
        <v>3</v>
      </c>
      <c r="B8" s="317" t="s">
        <v>193</v>
      </c>
      <c r="C8" s="505"/>
      <c r="D8" s="505"/>
      <c r="E8" s="505"/>
      <c r="F8" s="505"/>
      <c r="G8" s="164">
        <f t="shared" si="1"/>
        <v>0</v>
      </c>
      <c r="H8" s="165">
        <f t="shared" si="1"/>
        <v>0</v>
      </c>
      <c r="I8" s="371"/>
    </row>
    <row r="9" spans="1:9" x14ac:dyDescent="0.25">
      <c r="A9" s="33">
        <f t="shared" si="2"/>
        <v>4</v>
      </c>
      <c r="B9" s="317" t="s">
        <v>26</v>
      </c>
      <c r="C9" s="505">
        <v>255396.56</v>
      </c>
      <c r="D9" s="505">
        <v>485444.95</v>
      </c>
      <c r="E9" s="505">
        <v>271546.06</v>
      </c>
      <c r="F9" s="505">
        <v>472898.96</v>
      </c>
      <c r="G9" s="164">
        <f t="shared" si="1"/>
        <v>16149.5</v>
      </c>
      <c r="H9" s="165">
        <f t="shared" si="1"/>
        <v>-12545.989999999991</v>
      </c>
      <c r="I9" s="371"/>
    </row>
    <row r="10" spans="1:9" x14ac:dyDescent="0.25">
      <c r="A10" s="33">
        <f t="shared" si="2"/>
        <v>5</v>
      </c>
      <c r="B10" s="317" t="s">
        <v>192</v>
      </c>
      <c r="C10" s="505">
        <v>996.42</v>
      </c>
      <c r="D10" s="505">
        <v>2504.08</v>
      </c>
      <c r="E10" s="505">
        <v>967.18</v>
      </c>
      <c r="F10" s="505">
        <v>2057.77</v>
      </c>
      <c r="G10" s="164">
        <f t="shared" si="1"/>
        <v>-29.240000000000009</v>
      </c>
      <c r="H10" s="165">
        <f t="shared" si="1"/>
        <v>-446.30999999999995</v>
      </c>
      <c r="I10" s="371"/>
    </row>
    <row r="11" spans="1:9" x14ac:dyDescent="0.25">
      <c r="A11" s="33">
        <f t="shared" si="2"/>
        <v>6</v>
      </c>
      <c r="B11" s="323" t="s">
        <v>626</v>
      </c>
      <c r="C11" s="504">
        <f>SUM(C12:C15)</f>
        <v>1078497.31</v>
      </c>
      <c r="D11" s="504">
        <f t="shared" ref="D11:F11" si="3">SUM(D12:D15)</f>
        <v>812444.88</v>
      </c>
      <c r="E11" s="504">
        <f t="shared" si="3"/>
        <v>1671076.99</v>
      </c>
      <c r="F11" s="504">
        <f t="shared" si="3"/>
        <v>672737.8</v>
      </c>
      <c r="G11" s="164">
        <f t="shared" si="1"/>
        <v>592579.67999999993</v>
      </c>
      <c r="H11" s="165">
        <f t="shared" si="1"/>
        <v>-139707.07999999996</v>
      </c>
    </row>
    <row r="12" spans="1:9" x14ac:dyDescent="0.25">
      <c r="A12" s="33">
        <f t="shared" si="2"/>
        <v>7</v>
      </c>
      <c r="B12" s="317" t="s">
        <v>48</v>
      </c>
      <c r="C12" s="505">
        <v>863555.93</v>
      </c>
      <c r="D12" s="505"/>
      <c r="E12" s="505">
        <v>800342.86</v>
      </c>
      <c r="F12" s="505">
        <v>0</v>
      </c>
      <c r="G12" s="164">
        <f t="shared" si="1"/>
        <v>-63213.070000000065</v>
      </c>
      <c r="H12" s="165">
        <f t="shared" si="1"/>
        <v>0</v>
      </c>
    </row>
    <row r="13" spans="1:9" x14ac:dyDescent="0.25">
      <c r="A13" s="33">
        <f t="shared" si="2"/>
        <v>8</v>
      </c>
      <c r="B13" s="317" t="s">
        <v>49</v>
      </c>
      <c r="C13" s="505"/>
      <c r="D13" s="505"/>
      <c r="E13" s="505">
        <v>0</v>
      </c>
      <c r="F13" s="505">
        <v>0</v>
      </c>
      <c r="G13" s="164">
        <f t="shared" si="1"/>
        <v>0</v>
      </c>
      <c r="H13" s="165">
        <f t="shared" si="1"/>
        <v>0</v>
      </c>
    </row>
    <row r="14" spans="1:9" x14ac:dyDescent="0.25">
      <c r="A14" s="33">
        <f>A13+1</f>
        <v>9</v>
      </c>
      <c r="B14" s="317" t="s">
        <v>50</v>
      </c>
      <c r="C14" s="505"/>
      <c r="D14" s="505"/>
      <c r="E14" s="505">
        <v>0</v>
      </c>
      <c r="F14" s="505">
        <v>93558.57</v>
      </c>
      <c r="G14" s="164">
        <f t="shared" si="1"/>
        <v>0</v>
      </c>
      <c r="H14" s="165">
        <f t="shared" si="1"/>
        <v>93558.57</v>
      </c>
    </row>
    <row r="15" spans="1:9" ht="31.5" x14ac:dyDescent="0.25">
      <c r="A15" s="276">
        <f t="shared" si="2"/>
        <v>10</v>
      </c>
      <c r="B15" s="317" t="s">
        <v>680</v>
      </c>
      <c r="C15" s="505">
        <v>214941.38</v>
      </c>
      <c r="D15" s="505">
        <v>812444.88</v>
      </c>
      <c r="E15" s="505">
        <v>870734.13</v>
      </c>
      <c r="F15" s="505">
        <v>579179.23</v>
      </c>
      <c r="G15" s="164">
        <f t="shared" si="1"/>
        <v>655792.75</v>
      </c>
      <c r="H15" s="165">
        <f t="shared" si="1"/>
        <v>-233265.65000000002</v>
      </c>
    </row>
    <row r="16" spans="1:9" x14ac:dyDescent="0.25">
      <c r="A16" s="33">
        <f t="shared" si="2"/>
        <v>11</v>
      </c>
      <c r="B16" s="323" t="s">
        <v>11</v>
      </c>
      <c r="C16" s="505"/>
      <c r="D16" s="505">
        <v>110739.33</v>
      </c>
      <c r="E16" s="505">
        <v>0</v>
      </c>
      <c r="F16" s="505">
        <v>120929.24</v>
      </c>
      <c r="G16" s="164">
        <f t="shared" si="1"/>
        <v>0</v>
      </c>
      <c r="H16" s="165">
        <f t="shared" si="1"/>
        <v>10189.910000000003</v>
      </c>
    </row>
    <row r="17" spans="1:9" x14ac:dyDescent="0.25">
      <c r="A17" s="33">
        <f t="shared" si="2"/>
        <v>12</v>
      </c>
      <c r="B17" s="323" t="s">
        <v>664</v>
      </c>
      <c r="C17" s="505"/>
      <c r="D17" s="505"/>
      <c r="E17" s="505">
        <v>0</v>
      </c>
      <c r="F17" s="505">
        <v>0</v>
      </c>
      <c r="G17" s="164">
        <f t="shared" si="1"/>
        <v>0</v>
      </c>
      <c r="H17" s="165">
        <f t="shared" si="1"/>
        <v>0</v>
      </c>
    </row>
    <row r="18" spans="1:9" x14ac:dyDescent="0.25">
      <c r="A18" s="33">
        <f t="shared" si="2"/>
        <v>13</v>
      </c>
      <c r="B18" s="323" t="s">
        <v>665</v>
      </c>
      <c r="C18" s="505"/>
      <c r="D18" s="505"/>
      <c r="E18" s="505">
        <v>0</v>
      </c>
      <c r="F18" s="505">
        <v>0</v>
      </c>
      <c r="G18" s="164">
        <f t="shared" si="1"/>
        <v>0</v>
      </c>
      <c r="H18" s="165">
        <f t="shared" si="1"/>
        <v>0</v>
      </c>
    </row>
    <row r="19" spans="1:9" x14ac:dyDescent="0.25">
      <c r="A19" s="33">
        <f t="shared" si="2"/>
        <v>14</v>
      </c>
      <c r="B19" s="323" t="s">
        <v>222</v>
      </c>
      <c r="C19" s="505">
        <v>421.18</v>
      </c>
      <c r="D19" s="505">
        <v>2104.35</v>
      </c>
      <c r="E19" s="505">
        <v>1022.803</v>
      </c>
      <c r="F19" s="505">
        <v>366.75</v>
      </c>
      <c r="G19" s="164">
        <f t="shared" si="1"/>
        <v>601.62300000000005</v>
      </c>
      <c r="H19" s="165">
        <f t="shared" si="1"/>
        <v>-1737.6</v>
      </c>
    </row>
    <row r="20" spans="1:9" x14ac:dyDescent="0.25">
      <c r="A20" s="33">
        <f t="shared" si="2"/>
        <v>15</v>
      </c>
      <c r="B20" s="323" t="s">
        <v>223</v>
      </c>
      <c r="C20" s="505"/>
      <c r="D20" s="505"/>
      <c r="E20" s="505">
        <v>0</v>
      </c>
      <c r="F20" s="505">
        <v>0</v>
      </c>
      <c r="G20" s="164">
        <f t="shared" si="1"/>
        <v>0</v>
      </c>
      <c r="H20" s="165">
        <f t="shared" si="1"/>
        <v>0</v>
      </c>
    </row>
    <row r="21" spans="1:9" x14ac:dyDescent="0.25">
      <c r="A21" s="33">
        <f t="shared" si="2"/>
        <v>16</v>
      </c>
      <c r="B21" s="323" t="s">
        <v>627</v>
      </c>
      <c r="C21" s="504">
        <f>SUM(C22:C23)</f>
        <v>66.41</v>
      </c>
      <c r="D21" s="504">
        <f t="shared" ref="D21:F21" si="4">SUM(D22:D23)</f>
        <v>41.4</v>
      </c>
      <c r="E21" s="504">
        <f t="shared" si="4"/>
        <v>75.31</v>
      </c>
      <c r="F21" s="504">
        <f t="shared" si="4"/>
        <v>48.15</v>
      </c>
      <c r="G21" s="164">
        <f t="shared" si="1"/>
        <v>8.9000000000000057</v>
      </c>
      <c r="H21" s="165">
        <f t="shared" si="1"/>
        <v>6.75</v>
      </c>
    </row>
    <row r="22" spans="1:9" x14ac:dyDescent="0.25">
      <c r="A22" s="33">
        <f t="shared" si="2"/>
        <v>17</v>
      </c>
      <c r="B22" s="317" t="s">
        <v>53</v>
      </c>
      <c r="C22" s="505"/>
      <c r="D22" s="505"/>
      <c r="E22" s="505"/>
      <c r="F22" s="505"/>
      <c r="G22" s="164">
        <f t="shared" si="1"/>
        <v>0</v>
      </c>
      <c r="H22" s="165">
        <f t="shared" si="1"/>
        <v>0</v>
      </c>
    </row>
    <row r="23" spans="1:9" x14ac:dyDescent="0.25">
      <c r="A23" s="33">
        <f t="shared" si="2"/>
        <v>18</v>
      </c>
      <c r="B23" s="317" t="s">
        <v>54</v>
      </c>
      <c r="C23" s="505">
        <v>66.41</v>
      </c>
      <c r="D23" s="505">
        <v>41.4</v>
      </c>
      <c r="E23" s="505">
        <v>75.31</v>
      </c>
      <c r="F23" s="506">
        <v>48.15</v>
      </c>
      <c r="G23" s="164">
        <f t="shared" si="1"/>
        <v>8.9000000000000057</v>
      </c>
      <c r="H23" s="165">
        <f t="shared" si="1"/>
        <v>6.75</v>
      </c>
    </row>
    <row r="24" spans="1:9" x14ac:dyDescent="0.25">
      <c r="A24" s="33">
        <f t="shared" si="2"/>
        <v>19</v>
      </c>
      <c r="B24" s="323" t="s">
        <v>224</v>
      </c>
      <c r="C24" s="505">
        <v>2252.15</v>
      </c>
      <c r="D24" s="505"/>
      <c r="E24" s="505">
        <v>3531.85</v>
      </c>
      <c r="F24" s="505"/>
      <c r="G24" s="164">
        <f t="shared" si="1"/>
        <v>1279.6999999999998</v>
      </c>
      <c r="H24" s="165">
        <f t="shared" si="1"/>
        <v>0</v>
      </c>
    </row>
    <row r="25" spans="1:9" x14ac:dyDescent="0.25">
      <c r="A25" s="33">
        <f t="shared" si="2"/>
        <v>20</v>
      </c>
      <c r="B25" s="80" t="s">
        <v>813</v>
      </c>
      <c r="C25" s="504">
        <f>SUM(C26:C30)</f>
        <v>12173648.570000002</v>
      </c>
      <c r="D25" s="504">
        <f t="shared" ref="D25:F25" si="5">SUM(D26:D30)</f>
        <v>0</v>
      </c>
      <c r="E25" s="504">
        <f t="shared" si="5"/>
        <v>13264448.940000001</v>
      </c>
      <c r="F25" s="504">
        <f t="shared" si="5"/>
        <v>0</v>
      </c>
      <c r="G25" s="164">
        <f t="shared" ref="G25:G35" si="6">E25-C25</f>
        <v>1090800.3699999992</v>
      </c>
      <c r="H25" s="165">
        <f t="shared" ref="H25:H35" si="7">F25-D25</f>
        <v>0</v>
      </c>
      <c r="I25" s="468"/>
    </row>
    <row r="26" spans="1:9" x14ac:dyDescent="0.25">
      <c r="A26" s="33">
        <f t="shared" si="2"/>
        <v>21</v>
      </c>
      <c r="B26" s="122" t="s">
        <v>719</v>
      </c>
      <c r="C26" s="505">
        <v>263843.46999999997</v>
      </c>
      <c r="D26" s="505"/>
      <c r="E26" s="505">
        <v>243268.96</v>
      </c>
      <c r="F26" s="505"/>
      <c r="G26" s="164">
        <f t="shared" si="6"/>
        <v>-20574.50999999998</v>
      </c>
      <c r="H26" s="165">
        <f t="shared" si="7"/>
        <v>0</v>
      </c>
    </row>
    <row r="27" spans="1:9" x14ac:dyDescent="0.25">
      <c r="A27" s="33">
        <f t="shared" si="2"/>
        <v>22</v>
      </c>
      <c r="B27" s="122" t="s">
        <v>720</v>
      </c>
      <c r="C27" s="505">
        <v>11598064.890000001</v>
      </c>
      <c r="D27" s="505"/>
      <c r="E27" s="505">
        <v>12857104</v>
      </c>
      <c r="F27" s="505"/>
      <c r="G27" s="164">
        <f t="shared" si="6"/>
        <v>1259039.1099999994</v>
      </c>
      <c r="H27" s="165">
        <f t="shared" si="7"/>
        <v>0</v>
      </c>
    </row>
    <row r="28" spans="1:9" x14ac:dyDescent="0.25">
      <c r="A28" s="33">
        <f t="shared" si="2"/>
        <v>23</v>
      </c>
      <c r="B28" s="456" t="s">
        <v>811</v>
      </c>
      <c r="C28" s="505"/>
      <c r="D28" s="505"/>
      <c r="E28" s="505">
        <v>0</v>
      </c>
      <c r="F28" s="505"/>
      <c r="G28" s="164">
        <f t="shared" ref="G28" si="8">E28-C28</f>
        <v>0</v>
      </c>
      <c r="H28" s="165">
        <f t="shared" ref="H28" si="9">F28-D28</f>
        <v>0</v>
      </c>
      <c r="I28" s="212"/>
    </row>
    <row r="29" spans="1:9" x14ac:dyDescent="0.25">
      <c r="A29" s="33">
        <f t="shared" si="2"/>
        <v>24</v>
      </c>
      <c r="B29" s="456" t="s">
        <v>812</v>
      </c>
      <c r="C29" s="505">
        <v>311740.21000000002</v>
      </c>
      <c r="D29" s="505"/>
      <c r="E29" s="505">
        <v>162755.98000000001</v>
      </c>
      <c r="F29" s="505"/>
      <c r="G29" s="164">
        <f t="shared" si="6"/>
        <v>-148984.23000000001</v>
      </c>
      <c r="H29" s="165">
        <f t="shared" si="7"/>
        <v>0</v>
      </c>
      <c r="I29" s="212"/>
    </row>
    <row r="30" spans="1:9" x14ac:dyDescent="0.25">
      <c r="A30" s="33">
        <f t="shared" si="2"/>
        <v>25</v>
      </c>
      <c r="B30" s="122" t="s">
        <v>721</v>
      </c>
      <c r="C30" s="505"/>
      <c r="D30" s="505"/>
      <c r="E30" s="505">
        <v>1320</v>
      </c>
      <c r="F30" s="505"/>
      <c r="G30" s="164">
        <f t="shared" si="6"/>
        <v>1320</v>
      </c>
      <c r="H30" s="165">
        <f t="shared" si="7"/>
        <v>0</v>
      </c>
    </row>
    <row r="31" spans="1:9" x14ac:dyDescent="0.25">
      <c r="A31" s="33">
        <f t="shared" si="2"/>
        <v>26</v>
      </c>
      <c r="B31" s="80" t="s">
        <v>818</v>
      </c>
      <c r="C31" s="504">
        <f>SUM(C32:C37)</f>
        <v>356963.9</v>
      </c>
      <c r="D31" s="504">
        <f t="shared" ref="D31:F31" si="10">SUM(D32:D37)</f>
        <v>0</v>
      </c>
      <c r="E31" s="504">
        <f t="shared" si="10"/>
        <v>335460.48000000004</v>
      </c>
      <c r="F31" s="504">
        <f t="shared" si="10"/>
        <v>0</v>
      </c>
      <c r="G31" s="164">
        <f t="shared" ref="G31" si="11">E31-C31</f>
        <v>-21503.419999999984</v>
      </c>
      <c r="H31" s="165">
        <f t="shared" ref="H31" si="12">F31-D31</f>
        <v>0</v>
      </c>
      <c r="I31" s="468"/>
    </row>
    <row r="32" spans="1:9" x14ac:dyDescent="0.25">
      <c r="A32" s="33">
        <f t="shared" si="2"/>
        <v>27</v>
      </c>
      <c r="B32" s="122" t="s">
        <v>722</v>
      </c>
      <c r="C32" s="505">
        <v>230098</v>
      </c>
      <c r="D32" s="505"/>
      <c r="E32" s="505">
        <v>230930.03</v>
      </c>
      <c r="F32" s="505"/>
      <c r="G32" s="164">
        <f t="shared" si="6"/>
        <v>832.02999999999884</v>
      </c>
      <c r="H32" s="165">
        <f t="shared" si="7"/>
        <v>0</v>
      </c>
    </row>
    <row r="33" spans="1:9" x14ac:dyDescent="0.25">
      <c r="A33" s="33">
        <f t="shared" si="2"/>
        <v>28</v>
      </c>
      <c r="B33" s="122" t="s">
        <v>723</v>
      </c>
      <c r="C33" s="505">
        <v>84819.9</v>
      </c>
      <c r="D33" s="505"/>
      <c r="E33" s="505">
        <v>66242.86</v>
      </c>
      <c r="F33" s="505"/>
      <c r="G33" s="164">
        <f t="shared" si="6"/>
        <v>-18577.039999999994</v>
      </c>
      <c r="H33" s="165">
        <f t="shared" si="7"/>
        <v>0</v>
      </c>
    </row>
    <row r="34" spans="1:9" x14ac:dyDescent="0.25">
      <c r="A34" s="33">
        <f t="shared" si="2"/>
        <v>29</v>
      </c>
      <c r="B34" s="122" t="s">
        <v>724</v>
      </c>
      <c r="C34" s="505">
        <v>25587</v>
      </c>
      <c r="D34" s="505"/>
      <c r="E34" s="505">
        <v>20618</v>
      </c>
      <c r="F34" s="505"/>
      <c r="G34" s="164">
        <f t="shared" si="6"/>
        <v>-4969</v>
      </c>
      <c r="H34" s="165">
        <f t="shared" si="7"/>
        <v>0</v>
      </c>
      <c r="I34" s="513"/>
    </row>
    <row r="35" spans="1:9" x14ac:dyDescent="0.25">
      <c r="A35" s="33">
        <f t="shared" si="2"/>
        <v>30</v>
      </c>
      <c r="B35" s="122" t="s">
        <v>856</v>
      </c>
      <c r="C35" s="505">
        <v>16261</v>
      </c>
      <c r="D35" s="505"/>
      <c r="E35" s="505">
        <v>17468.59</v>
      </c>
      <c r="F35" s="505"/>
      <c r="G35" s="164">
        <f t="shared" si="6"/>
        <v>1207.5900000000001</v>
      </c>
      <c r="H35" s="165">
        <f t="shared" si="7"/>
        <v>0</v>
      </c>
    </row>
    <row r="36" spans="1:9" x14ac:dyDescent="0.25">
      <c r="A36" s="33">
        <f t="shared" si="2"/>
        <v>31</v>
      </c>
      <c r="B36" s="122" t="s">
        <v>717</v>
      </c>
      <c r="C36" s="505"/>
      <c r="D36" s="505"/>
      <c r="E36" s="505">
        <v>201</v>
      </c>
      <c r="F36" s="505"/>
      <c r="G36" s="164">
        <f t="shared" ref="G36:G37" si="13">E36-C36</f>
        <v>201</v>
      </c>
      <c r="H36" s="165">
        <f t="shared" ref="H36:H37" si="14">F36-D36</f>
        <v>0</v>
      </c>
    </row>
    <row r="37" spans="1:9" x14ac:dyDescent="0.25">
      <c r="A37" s="33">
        <f t="shared" si="2"/>
        <v>32</v>
      </c>
      <c r="B37" s="122" t="s">
        <v>718</v>
      </c>
      <c r="C37" s="505">
        <v>198</v>
      </c>
      <c r="D37" s="505"/>
      <c r="E37" s="505">
        <v>0</v>
      </c>
      <c r="F37" s="505"/>
      <c r="G37" s="164">
        <f t="shared" si="13"/>
        <v>-198</v>
      </c>
      <c r="H37" s="165">
        <f t="shared" si="14"/>
        <v>0</v>
      </c>
    </row>
    <row r="38" spans="1:9" x14ac:dyDescent="0.25">
      <c r="A38" s="33">
        <f t="shared" si="2"/>
        <v>33</v>
      </c>
      <c r="B38" s="122" t="s">
        <v>732</v>
      </c>
      <c r="C38" s="505">
        <v>287952.05</v>
      </c>
      <c r="D38" s="505"/>
      <c r="E38" s="505">
        <v>365139.76</v>
      </c>
      <c r="F38" s="505">
        <v>1.18</v>
      </c>
      <c r="G38" s="164">
        <f t="shared" ref="G38" si="15">E38-C38</f>
        <v>77187.710000000021</v>
      </c>
      <c r="H38" s="165">
        <f t="shared" ref="H38" si="16">F38-D38</f>
        <v>1.18</v>
      </c>
    </row>
    <row r="39" spans="1:9" s="367" customFormat="1" ht="14.25" customHeight="1" x14ac:dyDescent="0.3">
      <c r="A39" s="33">
        <f t="shared" si="2"/>
        <v>34</v>
      </c>
      <c r="B39" s="80" t="s">
        <v>819</v>
      </c>
      <c r="C39" s="507">
        <f>SUM(C40:C49)</f>
        <v>4740227.09</v>
      </c>
      <c r="D39" s="507">
        <f t="shared" ref="D39:F39" si="17">SUM(D40:D49)</f>
        <v>31000.48</v>
      </c>
      <c r="E39" s="507">
        <f t="shared" si="17"/>
        <v>4879241.8</v>
      </c>
      <c r="F39" s="507">
        <f t="shared" si="17"/>
        <v>98583.680000000008</v>
      </c>
      <c r="G39" s="164">
        <f t="shared" ref="G39" si="18">E39-C39</f>
        <v>139014.70999999996</v>
      </c>
      <c r="H39" s="165">
        <f t="shared" ref="H39" si="19">F39-D39</f>
        <v>67583.200000000012</v>
      </c>
      <c r="I39" s="1"/>
    </row>
    <row r="40" spans="1:9" x14ac:dyDescent="0.25">
      <c r="A40" s="33">
        <f t="shared" si="2"/>
        <v>35</v>
      </c>
      <c r="B40" s="122" t="s">
        <v>692</v>
      </c>
      <c r="C40" s="505">
        <v>46864</v>
      </c>
      <c r="D40" s="505"/>
      <c r="E40" s="505">
        <v>70333.009999999995</v>
      </c>
      <c r="F40" s="505">
        <v>0</v>
      </c>
      <c r="G40" s="164">
        <f t="shared" si="1"/>
        <v>23469.009999999995</v>
      </c>
      <c r="H40" s="165">
        <f t="shared" si="1"/>
        <v>0</v>
      </c>
    </row>
    <row r="41" spans="1:9" x14ac:dyDescent="0.25">
      <c r="A41" s="33">
        <f t="shared" si="2"/>
        <v>36</v>
      </c>
      <c r="B41" s="122" t="s">
        <v>55</v>
      </c>
      <c r="C41" s="505"/>
      <c r="D41" s="505"/>
      <c r="E41" s="505">
        <v>0</v>
      </c>
      <c r="F41" s="505">
        <v>0</v>
      </c>
      <c r="G41" s="164">
        <f t="shared" si="1"/>
        <v>0</v>
      </c>
      <c r="H41" s="165">
        <f t="shared" si="1"/>
        <v>0</v>
      </c>
    </row>
    <row r="42" spans="1:9" x14ac:dyDescent="0.25">
      <c r="A42" s="33">
        <f t="shared" si="2"/>
        <v>37</v>
      </c>
      <c r="B42" s="122" t="s">
        <v>56</v>
      </c>
      <c r="C42" s="505"/>
      <c r="D42" s="505"/>
      <c r="E42" s="505">
        <v>0</v>
      </c>
      <c r="F42" s="505">
        <v>0</v>
      </c>
      <c r="G42" s="164">
        <f t="shared" si="1"/>
        <v>0</v>
      </c>
      <c r="H42" s="165">
        <f t="shared" si="1"/>
        <v>0</v>
      </c>
    </row>
    <row r="43" spans="1:9" x14ac:dyDescent="0.25">
      <c r="A43" s="33">
        <f t="shared" si="2"/>
        <v>38</v>
      </c>
      <c r="B43" s="122" t="s">
        <v>57</v>
      </c>
      <c r="C43" s="505">
        <v>-9997.85</v>
      </c>
      <c r="D43" s="505"/>
      <c r="E43" s="505">
        <v>0</v>
      </c>
      <c r="F43" s="505">
        <v>0</v>
      </c>
      <c r="G43" s="164">
        <f t="shared" si="1"/>
        <v>9997.85</v>
      </c>
      <c r="H43" s="165">
        <f t="shared" si="1"/>
        <v>0</v>
      </c>
    </row>
    <row r="44" spans="1:9" x14ac:dyDescent="0.25">
      <c r="A44" s="33">
        <f t="shared" si="2"/>
        <v>39</v>
      </c>
      <c r="B44" s="122" t="s">
        <v>58</v>
      </c>
      <c r="C44" s="505">
        <v>1619521.52</v>
      </c>
      <c r="D44" s="505">
        <v>335</v>
      </c>
      <c r="E44" s="505">
        <v>0</v>
      </c>
      <c r="F44" s="505">
        <v>176.44</v>
      </c>
      <c r="G44" s="164">
        <f t="shared" si="1"/>
        <v>-1619521.52</v>
      </c>
      <c r="H44" s="165">
        <f t="shared" si="1"/>
        <v>-158.56</v>
      </c>
    </row>
    <row r="45" spans="1:9" x14ac:dyDescent="0.25">
      <c r="A45" s="33">
        <f t="shared" si="2"/>
        <v>40</v>
      </c>
      <c r="B45" s="122" t="s">
        <v>59</v>
      </c>
      <c r="C45" s="505">
        <v>1372006.34</v>
      </c>
      <c r="D45" s="505"/>
      <c r="E45" s="505">
        <v>1552463.54</v>
      </c>
      <c r="F45" s="505">
        <v>0</v>
      </c>
      <c r="G45" s="164">
        <f t="shared" si="1"/>
        <v>180457.19999999995</v>
      </c>
      <c r="H45" s="165">
        <f t="shared" si="1"/>
        <v>0</v>
      </c>
    </row>
    <row r="46" spans="1:9" x14ac:dyDescent="0.25">
      <c r="A46" s="33">
        <f t="shared" si="2"/>
        <v>41</v>
      </c>
      <c r="B46" s="432" t="s">
        <v>609</v>
      </c>
      <c r="C46" s="505"/>
      <c r="D46" s="505"/>
      <c r="E46" s="505">
        <v>0</v>
      </c>
      <c r="F46" s="505">
        <v>0</v>
      </c>
      <c r="G46" s="164">
        <f t="shared" si="1"/>
        <v>0</v>
      </c>
      <c r="H46" s="165">
        <f t="shared" si="1"/>
        <v>0</v>
      </c>
    </row>
    <row r="47" spans="1:9" x14ac:dyDescent="0.25">
      <c r="A47" s="33">
        <f t="shared" si="2"/>
        <v>42</v>
      </c>
      <c r="B47" s="122" t="s">
        <v>60</v>
      </c>
      <c r="C47" s="505"/>
      <c r="D47" s="505"/>
      <c r="E47" s="505">
        <v>0</v>
      </c>
      <c r="F47" s="505">
        <v>0</v>
      </c>
      <c r="G47" s="164">
        <f t="shared" si="1"/>
        <v>0</v>
      </c>
      <c r="H47" s="165">
        <f t="shared" si="1"/>
        <v>0</v>
      </c>
    </row>
    <row r="48" spans="1:9" x14ac:dyDescent="0.25">
      <c r="A48" s="33">
        <f t="shared" si="2"/>
        <v>43</v>
      </c>
      <c r="B48" s="122" t="s">
        <v>681</v>
      </c>
      <c r="C48" s="505">
        <v>2722.46</v>
      </c>
      <c r="D48" s="505"/>
      <c r="E48" s="505">
        <v>15646.18</v>
      </c>
      <c r="F48" s="505">
        <v>0</v>
      </c>
      <c r="G48" s="164">
        <f t="shared" ref="G48" si="20">E48-C48</f>
        <v>12923.720000000001</v>
      </c>
      <c r="H48" s="165">
        <f t="shared" ref="H48" si="21">F48-D48</f>
        <v>0</v>
      </c>
    </row>
    <row r="49" spans="1:9" x14ac:dyDescent="0.25">
      <c r="A49" s="33">
        <f t="shared" si="2"/>
        <v>44</v>
      </c>
      <c r="B49" s="122" t="s">
        <v>733</v>
      </c>
      <c r="C49" s="505">
        <v>1709110.6199999999</v>
      </c>
      <c r="D49" s="505">
        <v>30665.48</v>
      </c>
      <c r="E49" s="505">
        <v>3240799.07</v>
      </c>
      <c r="F49" s="505">
        <v>98407.24</v>
      </c>
      <c r="G49" s="164">
        <f t="shared" si="1"/>
        <v>1531688.45</v>
      </c>
      <c r="H49" s="165">
        <f t="shared" si="1"/>
        <v>67741.760000000009</v>
      </c>
    </row>
    <row r="50" spans="1:9" x14ac:dyDescent="0.25">
      <c r="A50" s="33">
        <f t="shared" si="2"/>
        <v>45</v>
      </c>
      <c r="B50" s="80" t="s">
        <v>227</v>
      </c>
      <c r="C50" s="505">
        <v>884994.92</v>
      </c>
      <c r="D50" s="505"/>
      <c r="E50" s="505">
        <v>0</v>
      </c>
      <c r="F50" s="505">
        <v>0</v>
      </c>
      <c r="G50" s="164">
        <f t="shared" si="1"/>
        <v>-884994.92</v>
      </c>
      <c r="H50" s="165">
        <f t="shared" si="1"/>
        <v>0</v>
      </c>
    </row>
    <row r="51" spans="1:9" x14ac:dyDescent="0.25">
      <c r="A51" s="33">
        <f t="shared" si="2"/>
        <v>46</v>
      </c>
      <c r="B51" s="80" t="s">
        <v>89</v>
      </c>
      <c r="C51" s="505"/>
      <c r="D51" s="505"/>
      <c r="E51" s="505">
        <v>0</v>
      </c>
      <c r="F51" s="505">
        <v>0</v>
      </c>
      <c r="G51" s="164">
        <f t="shared" si="1"/>
        <v>0</v>
      </c>
      <c r="H51" s="165">
        <f t="shared" si="1"/>
        <v>0</v>
      </c>
    </row>
    <row r="52" spans="1:9" x14ac:dyDescent="0.25">
      <c r="A52" s="33">
        <f t="shared" si="2"/>
        <v>47</v>
      </c>
      <c r="B52" s="80" t="s">
        <v>86</v>
      </c>
      <c r="C52" s="505"/>
      <c r="D52" s="505"/>
      <c r="E52" s="505">
        <v>0</v>
      </c>
      <c r="F52" s="505">
        <v>0</v>
      </c>
      <c r="G52" s="164">
        <f t="shared" si="1"/>
        <v>0</v>
      </c>
      <c r="H52" s="165">
        <f t="shared" si="1"/>
        <v>0</v>
      </c>
    </row>
    <row r="53" spans="1:9" x14ac:dyDescent="0.25">
      <c r="A53" s="33">
        <f t="shared" si="2"/>
        <v>48</v>
      </c>
      <c r="B53" s="80" t="s">
        <v>211</v>
      </c>
      <c r="C53" s="505">
        <v>56.4</v>
      </c>
      <c r="D53" s="505"/>
      <c r="E53" s="505">
        <v>0</v>
      </c>
      <c r="F53" s="505">
        <v>0</v>
      </c>
      <c r="G53" s="164">
        <f t="shared" si="1"/>
        <v>-56.4</v>
      </c>
      <c r="H53" s="165">
        <f t="shared" si="1"/>
        <v>0</v>
      </c>
    </row>
    <row r="54" spans="1:9" x14ac:dyDescent="0.25">
      <c r="A54" s="33">
        <f t="shared" si="2"/>
        <v>49</v>
      </c>
      <c r="B54" s="80" t="s">
        <v>159</v>
      </c>
      <c r="C54" s="505"/>
      <c r="D54" s="505"/>
      <c r="E54" s="505"/>
      <c r="F54" s="505"/>
      <c r="G54" s="164">
        <f t="shared" si="1"/>
        <v>0</v>
      </c>
      <c r="H54" s="165">
        <f t="shared" si="1"/>
        <v>0</v>
      </c>
    </row>
    <row r="55" spans="1:9" ht="18.75" x14ac:dyDescent="0.25">
      <c r="A55" s="33">
        <f t="shared" si="2"/>
        <v>50</v>
      </c>
      <c r="B55" s="80" t="s">
        <v>814</v>
      </c>
      <c r="C55" s="508">
        <f>SUM(C56:C61)</f>
        <v>48274.22</v>
      </c>
      <c r="D55" s="508">
        <f t="shared" ref="D55:F55" si="22">SUM(D56:D61)</f>
        <v>0</v>
      </c>
      <c r="E55" s="508">
        <f t="shared" si="22"/>
        <v>356582.83999999997</v>
      </c>
      <c r="F55" s="508">
        <f t="shared" si="22"/>
        <v>2200</v>
      </c>
      <c r="G55" s="164">
        <f t="shared" si="1"/>
        <v>308308.62</v>
      </c>
      <c r="H55" s="165">
        <f t="shared" si="1"/>
        <v>2200</v>
      </c>
      <c r="I55" s="468"/>
    </row>
    <row r="56" spans="1:9" x14ac:dyDescent="0.25">
      <c r="A56" s="33">
        <f t="shared" si="2"/>
        <v>51</v>
      </c>
      <c r="B56" s="122" t="s">
        <v>149</v>
      </c>
      <c r="C56" s="505"/>
      <c r="D56" s="509" t="s">
        <v>202</v>
      </c>
      <c r="E56" s="505">
        <v>314625</v>
      </c>
      <c r="F56" s="509">
        <v>2200</v>
      </c>
      <c r="G56" s="164">
        <f t="shared" si="1"/>
        <v>314625</v>
      </c>
      <c r="H56" s="165" t="s">
        <v>202</v>
      </c>
    </row>
    <row r="57" spans="1:9" x14ac:dyDescent="0.25">
      <c r="A57" s="33">
        <f t="shared" si="2"/>
        <v>52</v>
      </c>
      <c r="B57" s="122" t="s">
        <v>61</v>
      </c>
      <c r="C57" s="505">
        <v>48274.22</v>
      </c>
      <c r="D57" s="509" t="s">
        <v>202</v>
      </c>
      <c r="E57" s="505">
        <v>41957.84</v>
      </c>
      <c r="F57" s="509" t="s">
        <v>202</v>
      </c>
      <c r="G57" s="164">
        <f t="shared" si="1"/>
        <v>-6316.3800000000047</v>
      </c>
      <c r="H57" s="165" t="s">
        <v>202</v>
      </c>
    </row>
    <row r="58" spans="1:9" ht="31.5" x14ac:dyDescent="0.25">
      <c r="A58" s="33">
        <f t="shared" si="2"/>
        <v>53</v>
      </c>
      <c r="B58" s="122" t="s">
        <v>639</v>
      </c>
      <c r="C58" s="505"/>
      <c r="D58" s="509" t="s">
        <v>202</v>
      </c>
      <c r="E58" s="505"/>
      <c r="F58" s="509" t="s">
        <v>202</v>
      </c>
      <c r="G58" s="164">
        <f t="shared" si="1"/>
        <v>0</v>
      </c>
      <c r="H58" s="165" t="s">
        <v>202</v>
      </c>
    </row>
    <row r="59" spans="1:9" ht="18.75" x14ac:dyDescent="0.25">
      <c r="A59" s="33">
        <f t="shared" si="2"/>
        <v>54</v>
      </c>
      <c r="B59" s="122" t="s">
        <v>784</v>
      </c>
      <c r="C59" s="505"/>
      <c r="D59" s="509" t="s">
        <v>202</v>
      </c>
      <c r="E59" s="505"/>
      <c r="F59" s="509" t="s">
        <v>202</v>
      </c>
      <c r="G59" s="164">
        <f t="shared" si="1"/>
        <v>0</v>
      </c>
      <c r="H59" s="165" t="s">
        <v>202</v>
      </c>
    </row>
    <row r="60" spans="1:9" x14ac:dyDescent="0.25">
      <c r="A60" s="33">
        <f t="shared" si="2"/>
        <v>55</v>
      </c>
      <c r="B60" s="122" t="s">
        <v>637</v>
      </c>
      <c r="C60" s="505"/>
      <c r="D60" s="509" t="s">
        <v>202</v>
      </c>
      <c r="E60" s="505"/>
      <c r="F60" s="509" t="s">
        <v>202</v>
      </c>
      <c r="G60" s="164">
        <f t="shared" si="1"/>
        <v>0</v>
      </c>
      <c r="H60" s="165" t="s">
        <v>202</v>
      </c>
    </row>
    <row r="61" spans="1:9" x14ac:dyDescent="0.25">
      <c r="A61" s="33">
        <f t="shared" si="2"/>
        <v>56</v>
      </c>
      <c r="B61" s="80" t="s">
        <v>228</v>
      </c>
      <c r="C61" s="505"/>
      <c r="D61" s="505"/>
      <c r="E61" s="505"/>
      <c r="F61" s="505"/>
      <c r="G61" s="164">
        <f t="shared" si="1"/>
        <v>0</v>
      </c>
      <c r="H61" s="165">
        <f t="shared" si="1"/>
        <v>0</v>
      </c>
    </row>
    <row r="62" spans="1:9" x14ac:dyDescent="0.25">
      <c r="A62" s="33">
        <f t="shared" si="2"/>
        <v>57</v>
      </c>
      <c r="B62" s="80" t="s">
        <v>87</v>
      </c>
      <c r="C62" s="505">
        <v>216.77</v>
      </c>
      <c r="D62" s="505">
        <v>119325.71</v>
      </c>
      <c r="E62" s="505">
        <v>0</v>
      </c>
      <c r="F62" s="505">
        <v>125838.17</v>
      </c>
      <c r="G62" s="164">
        <f t="shared" si="1"/>
        <v>-216.77</v>
      </c>
      <c r="H62" s="165">
        <f t="shared" si="1"/>
        <v>6512.4599999999919</v>
      </c>
    </row>
    <row r="63" spans="1:9" x14ac:dyDescent="0.25">
      <c r="A63" s="33">
        <f t="shared" si="2"/>
        <v>58</v>
      </c>
      <c r="B63" s="433" t="s">
        <v>90</v>
      </c>
      <c r="C63" s="505">
        <v>19315</v>
      </c>
      <c r="D63" s="505"/>
      <c r="E63" s="505">
        <v>54052.59</v>
      </c>
      <c r="F63" s="505">
        <v>0</v>
      </c>
      <c r="G63" s="164">
        <f t="shared" si="1"/>
        <v>34737.589999999997</v>
      </c>
      <c r="H63" s="165">
        <f t="shared" si="1"/>
        <v>0</v>
      </c>
      <c r="I63" s="212"/>
    </row>
    <row r="64" spans="1:9" x14ac:dyDescent="0.25">
      <c r="A64" s="33">
        <f t="shared" si="2"/>
        <v>59</v>
      </c>
      <c r="B64" s="433" t="s">
        <v>706</v>
      </c>
      <c r="C64" s="505"/>
      <c r="D64" s="505"/>
      <c r="E64" s="505">
        <v>0</v>
      </c>
      <c r="F64" s="505">
        <v>0</v>
      </c>
      <c r="G64" s="164">
        <f t="shared" ref="G64" si="23">E64-C64</f>
        <v>0</v>
      </c>
      <c r="H64" s="165">
        <f t="shared" ref="H64" si="24">F64-D64</f>
        <v>0</v>
      </c>
      <c r="I64" s="212"/>
    </row>
    <row r="65" spans="1:9" x14ac:dyDescent="0.25">
      <c r="A65" s="33">
        <f t="shared" si="2"/>
        <v>60</v>
      </c>
      <c r="B65" s="434" t="s">
        <v>666</v>
      </c>
      <c r="C65" s="505"/>
      <c r="D65" s="505"/>
      <c r="E65" s="505">
        <v>0</v>
      </c>
      <c r="F65" s="505">
        <v>0</v>
      </c>
      <c r="G65" s="164">
        <f>E65-C65</f>
        <v>0</v>
      </c>
      <c r="H65" s="165">
        <f t="shared" si="1"/>
        <v>0</v>
      </c>
      <c r="I65" s="212"/>
    </row>
    <row r="66" spans="1:9" x14ac:dyDescent="0.25">
      <c r="A66" s="33">
        <f t="shared" si="2"/>
        <v>61</v>
      </c>
      <c r="B66" s="434" t="s">
        <v>682</v>
      </c>
      <c r="C66" s="505"/>
      <c r="D66" s="505"/>
      <c r="E66" s="505"/>
      <c r="F66" s="505"/>
      <c r="G66" s="164">
        <f>E66-C66</f>
        <v>0</v>
      </c>
      <c r="H66" s="165">
        <f t="shared" ref="H66" si="25">F66-D66</f>
        <v>0</v>
      </c>
      <c r="I66" s="212"/>
    </row>
    <row r="67" spans="1:9" x14ac:dyDescent="0.25">
      <c r="A67" s="33">
        <f t="shared" si="2"/>
        <v>62</v>
      </c>
      <c r="B67" s="80" t="s">
        <v>91</v>
      </c>
      <c r="C67" s="505">
        <v>40698128.07</v>
      </c>
      <c r="D67" s="505"/>
      <c r="E67" s="505">
        <v>42882368.219999999</v>
      </c>
      <c r="F67" s="505">
        <v>0</v>
      </c>
      <c r="G67" s="164">
        <f t="shared" si="1"/>
        <v>2184240.1499999985</v>
      </c>
      <c r="H67" s="165">
        <f t="shared" si="1"/>
        <v>0</v>
      </c>
    </row>
    <row r="68" spans="1:9" x14ac:dyDescent="0.25">
      <c r="A68" s="33">
        <f t="shared" si="2"/>
        <v>63</v>
      </c>
      <c r="B68" s="435" t="s">
        <v>194</v>
      </c>
      <c r="C68" s="510"/>
      <c r="D68" s="510"/>
      <c r="E68" s="510"/>
      <c r="F68" s="510"/>
      <c r="G68" s="164">
        <f t="shared" si="1"/>
        <v>0</v>
      </c>
      <c r="H68" s="165">
        <f t="shared" si="1"/>
        <v>0</v>
      </c>
    </row>
    <row r="69" spans="1:9" x14ac:dyDescent="0.25">
      <c r="A69" s="33">
        <f t="shared" si="2"/>
        <v>64</v>
      </c>
      <c r="B69" s="435" t="s">
        <v>98</v>
      </c>
      <c r="C69" s="511">
        <v>1769631.46</v>
      </c>
      <c r="D69" s="511"/>
      <c r="E69" s="511">
        <v>429468.59</v>
      </c>
      <c r="F69" s="511"/>
      <c r="G69" s="164">
        <f t="shared" si="1"/>
        <v>-1340162.8699999999</v>
      </c>
      <c r="H69" s="165">
        <f t="shared" si="1"/>
        <v>0</v>
      </c>
    </row>
    <row r="70" spans="1:9" s="127" customFormat="1" ht="30" thickBot="1" x14ac:dyDescent="0.3">
      <c r="A70" s="33">
        <f t="shared" si="2"/>
        <v>65</v>
      </c>
      <c r="B70" s="436" t="s">
        <v>820</v>
      </c>
      <c r="C70" s="383">
        <f>C6+C11+C16+C17+C18+C19+C20+C21+C24+C25+C31+C38+C39+C50+C51+C52+C53+C54+C55+C61+C62+C63+C64+C65+C66+C67</f>
        <v>60547407.019999996</v>
      </c>
      <c r="D70" s="383">
        <f t="shared" ref="D70:F70" si="26">D6+D11+D16+D17+D18+D19+D20+D21+D24+D25+D31+D38+D39+D50+D51+D52+D53+D54+D55+D61+D62+D63+D64+D65+D66+D67</f>
        <v>1563605.1800000002</v>
      </c>
      <c r="E70" s="383">
        <f t="shared" si="26"/>
        <v>64085514.822999999</v>
      </c>
      <c r="F70" s="383">
        <f t="shared" si="26"/>
        <v>1495661.6999999997</v>
      </c>
      <c r="G70" s="170">
        <f t="shared" si="1"/>
        <v>3538107.8030000031</v>
      </c>
      <c r="H70" s="171">
        <f t="shared" si="1"/>
        <v>-67943.480000000447</v>
      </c>
      <c r="I70" s="397"/>
    </row>
    <row r="71" spans="1:9" ht="21" customHeight="1" x14ac:dyDescent="0.25">
      <c r="B71" s="3"/>
      <c r="C71" s="3"/>
      <c r="D71" s="603"/>
      <c r="E71" s="365"/>
      <c r="F71" s="603"/>
      <c r="G71" s="604"/>
      <c r="H71" s="604"/>
      <c r="I71" s="44"/>
    </row>
    <row r="72" spans="1:9" x14ac:dyDescent="0.25">
      <c r="A72" s="638" t="s">
        <v>785</v>
      </c>
      <c r="B72" s="639"/>
      <c r="C72" s="639"/>
      <c r="D72" s="639"/>
      <c r="E72" s="639"/>
      <c r="F72" s="639"/>
      <c r="G72" s="639"/>
      <c r="H72" s="640"/>
      <c r="I72" s="371"/>
    </row>
    <row r="73" spans="1:9" ht="30.75" customHeight="1" x14ac:dyDescent="0.25">
      <c r="A73" s="641" t="s">
        <v>150</v>
      </c>
      <c r="B73" s="642"/>
      <c r="C73" s="642"/>
      <c r="D73" s="642"/>
      <c r="E73" s="642"/>
      <c r="F73" s="642"/>
      <c r="G73" s="642"/>
      <c r="H73" s="643"/>
    </row>
    <row r="75" spans="1:9" x14ac:dyDescent="0.25">
      <c r="C75" s="396"/>
    </row>
    <row r="76" spans="1:9" ht="18.75" customHeight="1" x14ac:dyDescent="0.25">
      <c r="B76" s="512"/>
    </row>
  </sheetData>
  <mergeCells count="9">
    <mergeCell ref="A72:H72"/>
    <mergeCell ref="A73:H73"/>
    <mergeCell ref="A1:H1"/>
    <mergeCell ref="A2:H2"/>
    <mergeCell ref="A3:A4"/>
    <mergeCell ref="B3:B4"/>
    <mergeCell ref="C3:D3"/>
    <mergeCell ref="E3:F3"/>
    <mergeCell ref="G3:H3"/>
  </mergeCells>
  <printOptions gridLines="1"/>
  <pageMargins left="0.51181102362204722" right="0.31496062992125984" top="0.43307086614173229" bottom="0.47244094488188981" header="0.39370078740157483" footer="0.23622047244094491"/>
  <pageSetup paperSize="9" scale="71" fitToWidth="2" fitToHeight="2" orientation="landscape" r:id="rId1"/>
  <headerFooter alignWithMargins="0">
    <oddFooter>&amp;C&amp;P z &amp;N</oddFooter>
  </headerFooter>
  <rowBreaks count="1" manualBreakCount="1"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E22" sqref="E22"/>
    </sheetView>
  </sheetViews>
  <sheetFormatPr defaultRowHeight="15.75" x14ac:dyDescent="0.25"/>
  <cols>
    <col min="1" max="1" width="7.85546875" style="3" customWidth="1"/>
    <col min="2" max="2" width="98.28515625" style="6" customWidth="1"/>
    <col min="3" max="3" width="16.85546875" style="1" customWidth="1"/>
    <col min="4" max="4" width="17.28515625" style="1" customWidth="1"/>
    <col min="5" max="5" width="32.140625" style="1" customWidth="1"/>
    <col min="6" max="16384" width="9.140625" style="1"/>
  </cols>
  <sheetData>
    <row r="1" spans="1:6" ht="45.75" customHeight="1" thickBot="1" x14ac:dyDescent="0.3">
      <c r="A1" s="632" t="s">
        <v>753</v>
      </c>
      <c r="B1" s="633"/>
      <c r="C1" s="633"/>
      <c r="D1" s="634"/>
      <c r="E1" s="212"/>
    </row>
    <row r="2" spans="1:6" ht="37.5" customHeight="1" x14ac:dyDescent="0.25">
      <c r="A2" s="647" t="s">
        <v>875</v>
      </c>
      <c r="B2" s="648"/>
      <c r="C2" s="648"/>
      <c r="D2" s="649"/>
    </row>
    <row r="3" spans="1:6" s="10" customFormat="1" ht="31.5" x14ac:dyDescent="0.25">
      <c r="A3" s="343" t="s">
        <v>133</v>
      </c>
      <c r="B3" s="345" t="s">
        <v>215</v>
      </c>
      <c r="C3" s="344">
        <v>2017</v>
      </c>
      <c r="D3" s="322">
        <v>2018</v>
      </c>
    </row>
    <row r="4" spans="1:6" s="10" customFormat="1" x14ac:dyDescent="0.25">
      <c r="A4" s="343"/>
      <c r="B4" s="345"/>
      <c r="C4" s="344" t="s">
        <v>180</v>
      </c>
      <c r="D4" s="322" t="s">
        <v>181</v>
      </c>
      <c r="F4" s="94"/>
    </row>
    <row r="5" spans="1:6" x14ac:dyDescent="0.25">
      <c r="A5" s="33">
        <v>1</v>
      </c>
      <c r="B5" s="323" t="s">
        <v>731</v>
      </c>
      <c r="C5" s="565">
        <f>+SUM(C6:C9)</f>
        <v>12173648.570000002</v>
      </c>
      <c r="D5" s="565">
        <f>+SUM(D6:D9)</f>
        <v>13264448.940000001</v>
      </c>
      <c r="E5" s="10"/>
      <c r="F5" s="327"/>
    </row>
    <row r="6" spans="1:6" x14ac:dyDescent="0.25">
      <c r="A6" s="33">
        <v>2</v>
      </c>
      <c r="B6" s="46" t="s">
        <v>709</v>
      </c>
      <c r="C6" s="514"/>
      <c r="D6" s="566">
        <v>1320</v>
      </c>
      <c r="E6" s="326"/>
      <c r="F6" s="10"/>
    </row>
    <row r="7" spans="1:6" x14ac:dyDescent="0.25">
      <c r="A7" s="33">
        <v>3</v>
      </c>
      <c r="B7" s="46" t="s">
        <v>710</v>
      </c>
      <c r="C7" s="514">
        <v>263843.46999999997</v>
      </c>
      <c r="D7" s="566">
        <v>243268.96</v>
      </c>
      <c r="E7" s="326"/>
      <c r="F7" s="10"/>
    </row>
    <row r="8" spans="1:6" x14ac:dyDescent="0.25">
      <c r="A8" s="33">
        <v>4</v>
      </c>
      <c r="B8" s="455" t="s">
        <v>810</v>
      </c>
      <c r="C8" s="514">
        <v>11598064.890000001</v>
      </c>
      <c r="D8" s="566">
        <v>12857104</v>
      </c>
      <c r="E8" s="326"/>
      <c r="F8" s="10"/>
    </row>
    <row r="9" spans="1:6" x14ac:dyDescent="0.25">
      <c r="A9" s="33">
        <v>5</v>
      </c>
      <c r="B9" s="455" t="s">
        <v>809</v>
      </c>
      <c r="C9" s="514">
        <v>311740.21000000002</v>
      </c>
      <c r="D9" s="566">
        <v>162755.98000000001</v>
      </c>
      <c r="E9" s="326"/>
      <c r="F9" s="10"/>
    </row>
    <row r="10" spans="1:6" ht="18.75" x14ac:dyDescent="0.25">
      <c r="A10" s="227">
        <v>6</v>
      </c>
      <c r="B10" s="46" t="s">
        <v>782</v>
      </c>
      <c r="C10" s="497"/>
      <c r="D10" s="567"/>
    </row>
    <row r="11" spans="1:6" x14ac:dyDescent="0.25">
      <c r="A11" s="33">
        <v>7</v>
      </c>
      <c r="B11" s="64" t="s">
        <v>783</v>
      </c>
      <c r="C11" s="504">
        <f>SUM(C12:C17)</f>
        <v>356963.9</v>
      </c>
      <c r="D11" s="568">
        <f>SUM(D12:D17)</f>
        <v>335460.48000000004</v>
      </c>
    </row>
    <row r="12" spans="1:6" x14ac:dyDescent="0.25">
      <c r="A12" s="33">
        <v>8</v>
      </c>
      <c r="B12" s="46" t="s">
        <v>711</v>
      </c>
      <c r="C12" s="514">
        <v>230098</v>
      </c>
      <c r="D12" s="566">
        <v>230930.03</v>
      </c>
    </row>
    <row r="13" spans="1:6" x14ac:dyDescent="0.25">
      <c r="A13" s="33">
        <v>9</v>
      </c>
      <c r="B13" s="46" t="s">
        <v>712</v>
      </c>
      <c r="C13" s="514">
        <v>84819.9</v>
      </c>
      <c r="D13" s="566">
        <v>66242.86</v>
      </c>
    </row>
    <row r="14" spans="1:6" x14ac:dyDescent="0.25">
      <c r="A14" s="33">
        <v>10</v>
      </c>
      <c r="B14" s="46" t="s">
        <v>713</v>
      </c>
      <c r="C14" s="514">
        <v>25587</v>
      </c>
      <c r="D14" s="566">
        <v>20618</v>
      </c>
    </row>
    <row r="15" spans="1:6" x14ac:dyDescent="0.25">
      <c r="A15" s="33">
        <v>11</v>
      </c>
      <c r="B15" s="46" t="s">
        <v>714</v>
      </c>
      <c r="C15" s="514">
        <v>16261</v>
      </c>
      <c r="D15" s="566">
        <f>17462.59+6</f>
        <v>17468.59</v>
      </c>
    </row>
    <row r="16" spans="1:6" ht="31.5" x14ac:dyDescent="0.25">
      <c r="A16" s="33">
        <v>12</v>
      </c>
      <c r="B16" s="46" t="s">
        <v>715</v>
      </c>
      <c r="C16" s="514"/>
      <c r="D16" s="566">
        <v>201</v>
      </c>
    </row>
    <row r="17" spans="1:5" x14ac:dyDescent="0.25">
      <c r="A17" s="33">
        <v>13</v>
      </c>
      <c r="B17" s="46" t="s">
        <v>716</v>
      </c>
      <c r="C17" s="514">
        <v>198</v>
      </c>
      <c r="D17" s="566">
        <v>0</v>
      </c>
    </row>
    <row r="18" spans="1:5" x14ac:dyDescent="0.25">
      <c r="A18" s="33">
        <v>14</v>
      </c>
      <c r="B18" s="64" t="s">
        <v>153</v>
      </c>
      <c r="C18" s="504">
        <f>(C6+C7)*0.2</f>
        <v>52768.693999999996</v>
      </c>
      <c r="D18" s="568">
        <f>(D6+D7)*0.2</f>
        <v>48917.792000000001</v>
      </c>
    </row>
    <row r="19" spans="1:5" ht="19.5" thickBot="1" x14ac:dyDescent="0.35">
      <c r="A19" s="34">
        <v>15</v>
      </c>
      <c r="B19" s="65" t="s">
        <v>221</v>
      </c>
      <c r="C19" s="569">
        <v>64729.47</v>
      </c>
      <c r="D19" s="570">
        <v>48953.37</v>
      </c>
      <c r="E19" s="479"/>
    </row>
    <row r="20" spans="1:5" x14ac:dyDescent="0.25">
      <c r="B20" s="9"/>
    </row>
    <row r="21" spans="1:5" ht="18.75" x14ac:dyDescent="0.25">
      <c r="A21" s="277"/>
      <c r="B21" s="335" t="s">
        <v>644</v>
      </c>
    </row>
    <row r="22" spans="1:5" x14ac:dyDescent="0.25">
      <c r="B22" s="324"/>
    </row>
    <row r="23" spans="1:5" x14ac:dyDescent="0.25">
      <c r="B23" s="324"/>
    </row>
    <row r="24" spans="1:5" x14ac:dyDescent="0.25">
      <c r="B24" s="9"/>
    </row>
    <row r="25" spans="1:5" x14ac:dyDescent="0.25">
      <c r="B25" s="9"/>
    </row>
    <row r="26" spans="1:5" x14ac:dyDescent="0.25">
      <c r="B26" s="9"/>
    </row>
    <row r="27" spans="1:5" x14ac:dyDescent="0.25">
      <c r="B27" s="9"/>
    </row>
  </sheetData>
  <mergeCells count="2">
    <mergeCell ref="A1:D1"/>
    <mergeCell ref="A2:D2"/>
  </mergeCells>
  <pageMargins left="0.70866141732283472" right="0.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2"/>
  <sheetViews>
    <sheetView zoomScaleNormal="100" zoomScaleSheetLayoutView="80" workbookViewId="0">
      <pane xSplit="2" ySplit="5" topLeftCell="C75" activePane="bottomRight" state="frozen"/>
      <selection pane="topRight" activeCell="C1" sqref="C1"/>
      <selection pane="bottomLeft" activeCell="A6" sqref="A6"/>
      <selection pane="bottomRight" activeCell="E82" sqref="E82"/>
    </sheetView>
  </sheetViews>
  <sheetFormatPr defaultRowHeight="15.75" x14ac:dyDescent="0.25"/>
  <cols>
    <col min="1" max="1" width="8.42578125" style="3" customWidth="1"/>
    <col min="2" max="2" width="74.140625" style="126" customWidth="1"/>
    <col min="3" max="3" width="18" style="1" customWidth="1"/>
    <col min="4" max="7" width="17" style="1" customWidth="1"/>
    <col min="8" max="8" width="18" style="1" customWidth="1"/>
    <col min="9" max="9" width="45.85546875" style="1" customWidth="1"/>
    <col min="10" max="11" width="9.140625" style="1"/>
    <col min="12" max="12" width="3.42578125" style="1" customWidth="1"/>
    <col min="13" max="16384" width="9.140625" style="1"/>
  </cols>
  <sheetData>
    <row r="1" spans="1:9" ht="35.1" customHeight="1" thickBot="1" x14ac:dyDescent="0.3">
      <c r="A1" s="658" t="s">
        <v>754</v>
      </c>
      <c r="B1" s="659"/>
      <c r="C1" s="659"/>
      <c r="D1" s="659"/>
      <c r="E1" s="659"/>
      <c r="F1" s="659"/>
      <c r="G1" s="659"/>
      <c r="H1" s="660"/>
      <c r="I1" s="212"/>
    </row>
    <row r="2" spans="1:9" ht="32.450000000000003" customHeight="1" x14ac:dyDescent="0.25">
      <c r="A2" s="629" t="s">
        <v>876</v>
      </c>
      <c r="B2" s="630"/>
      <c r="C2" s="630"/>
      <c r="D2" s="630"/>
      <c r="E2" s="630"/>
      <c r="F2" s="630"/>
      <c r="G2" s="630"/>
      <c r="H2" s="631"/>
    </row>
    <row r="3" spans="1:9" s="10" customFormat="1" ht="31.5" customHeight="1" x14ac:dyDescent="0.25">
      <c r="A3" s="650" t="s">
        <v>133</v>
      </c>
      <c r="B3" s="651" t="s">
        <v>215</v>
      </c>
      <c r="C3" s="661">
        <v>2017</v>
      </c>
      <c r="D3" s="661"/>
      <c r="E3" s="661">
        <v>2018</v>
      </c>
      <c r="F3" s="661"/>
      <c r="G3" s="653" t="s">
        <v>752</v>
      </c>
      <c r="H3" s="655"/>
    </row>
    <row r="4" spans="1:9" ht="31.5" customHeight="1" x14ac:dyDescent="0.25">
      <c r="A4" s="650"/>
      <c r="B4" s="652"/>
      <c r="C4" s="381" t="s">
        <v>216</v>
      </c>
      <c r="D4" s="381" t="s">
        <v>217</v>
      </c>
      <c r="E4" s="381" t="s">
        <v>216</v>
      </c>
      <c r="F4" s="381" t="s">
        <v>217</v>
      </c>
      <c r="G4" s="381" t="s">
        <v>216</v>
      </c>
      <c r="H4" s="382" t="s">
        <v>217</v>
      </c>
    </row>
    <row r="5" spans="1:9" x14ac:dyDescent="0.25">
      <c r="A5" s="33"/>
      <c r="B5" s="316"/>
      <c r="C5" s="39" t="s">
        <v>180</v>
      </c>
      <c r="D5" s="39" t="s">
        <v>181</v>
      </c>
      <c r="E5" s="39" t="s">
        <v>182</v>
      </c>
      <c r="F5" s="39" t="s">
        <v>188</v>
      </c>
      <c r="G5" s="39" t="s">
        <v>14</v>
      </c>
      <c r="H5" s="79" t="s">
        <v>15</v>
      </c>
    </row>
    <row r="6" spans="1:9" x14ac:dyDescent="0.25">
      <c r="A6" s="33">
        <v>1</v>
      </c>
      <c r="B6" s="314" t="s">
        <v>795</v>
      </c>
      <c r="C6" s="504">
        <f>SUM(C7:C18)</f>
        <v>2974876.22</v>
      </c>
      <c r="D6" s="504">
        <f>SUM(D7:D18)</f>
        <v>388561.9599999999</v>
      </c>
      <c r="E6" s="504">
        <f>SUM(E7:E18)</f>
        <v>2881761.0900000003</v>
      </c>
      <c r="F6" s="504">
        <f>SUM(F7:F18)</f>
        <v>370292.28</v>
      </c>
      <c r="G6" s="61">
        <f>E6-C6</f>
        <v>-93115.129999999888</v>
      </c>
      <c r="H6" s="136">
        <f>F6-D6</f>
        <v>-18269.679999999877</v>
      </c>
    </row>
    <row r="7" spans="1:9" ht="17.25" customHeight="1" x14ac:dyDescent="0.25">
      <c r="A7" s="33">
        <f>A6+1</f>
        <v>2</v>
      </c>
      <c r="B7" s="312" t="s">
        <v>610</v>
      </c>
      <c r="C7" s="514">
        <v>196752.43</v>
      </c>
      <c r="D7" s="514">
        <v>4704.66</v>
      </c>
      <c r="E7" s="514">
        <v>168050.21</v>
      </c>
      <c r="F7" s="514">
        <v>2689.52</v>
      </c>
      <c r="G7" s="144">
        <f>E7-C7</f>
        <v>-28702.22</v>
      </c>
      <c r="H7" s="145">
        <f>F7-D7</f>
        <v>-2015.1399999999999</v>
      </c>
    </row>
    <row r="8" spans="1:9" ht="30.6" customHeight="1" x14ac:dyDescent="0.25">
      <c r="A8" s="33">
        <f t="shared" ref="A8:A71" si="0">A7+1</f>
        <v>3</v>
      </c>
      <c r="B8" s="315" t="s">
        <v>672</v>
      </c>
      <c r="C8" s="514">
        <v>622388.28</v>
      </c>
      <c r="D8" s="514">
        <v>1353.34</v>
      </c>
      <c r="E8" s="514">
        <v>691245.52</v>
      </c>
      <c r="F8" s="514">
        <v>5479</v>
      </c>
      <c r="G8" s="144">
        <f t="shared" ref="G8:H71" si="1">E8-C8</f>
        <v>68857.239999999991</v>
      </c>
      <c r="H8" s="145">
        <f t="shared" si="1"/>
        <v>4125.66</v>
      </c>
    </row>
    <row r="9" spans="1:9" x14ac:dyDescent="0.25">
      <c r="A9" s="33">
        <f t="shared" si="0"/>
        <v>4</v>
      </c>
      <c r="B9" s="312" t="s">
        <v>611</v>
      </c>
      <c r="C9" s="514">
        <v>203533.14</v>
      </c>
      <c r="D9" s="514">
        <v>4629.79</v>
      </c>
      <c r="E9" s="514">
        <v>162917.34</v>
      </c>
      <c r="F9" s="514">
        <v>3126.35</v>
      </c>
      <c r="G9" s="144">
        <f t="shared" si="1"/>
        <v>-40615.800000000017</v>
      </c>
      <c r="H9" s="145">
        <f t="shared" si="1"/>
        <v>-1503.44</v>
      </c>
    </row>
    <row r="10" spans="1:9" x14ac:dyDescent="0.25">
      <c r="A10" s="33">
        <f t="shared" si="0"/>
        <v>5</v>
      </c>
      <c r="B10" s="312" t="s">
        <v>612</v>
      </c>
      <c r="C10" s="514">
        <v>12676.02</v>
      </c>
      <c r="D10" s="514">
        <v>396.49</v>
      </c>
      <c r="E10" s="514">
        <v>18029.650000000001</v>
      </c>
      <c r="F10" s="514">
        <v>320.56</v>
      </c>
      <c r="G10" s="144">
        <f t="shared" si="1"/>
        <v>5353.630000000001</v>
      </c>
      <c r="H10" s="145">
        <f t="shared" si="1"/>
        <v>-75.930000000000007</v>
      </c>
    </row>
    <row r="11" spans="1:9" x14ac:dyDescent="0.25">
      <c r="A11" s="33">
        <f t="shared" si="0"/>
        <v>6</v>
      </c>
      <c r="B11" s="312" t="s">
        <v>613</v>
      </c>
      <c r="C11" s="514">
        <v>26674.39</v>
      </c>
      <c r="D11" s="514">
        <v>5174.1899999999996</v>
      </c>
      <c r="E11" s="514">
        <v>31060.41</v>
      </c>
      <c r="F11" s="514">
        <v>6372.44</v>
      </c>
      <c r="G11" s="144">
        <f t="shared" si="1"/>
        <v>4386.0200000000004</v>
      </c>
      <c r="H11" s="145">
        <f t="shared" si="1"/>
        <v>1198.25</v>
      </c>
    </row>
    <row r="12" spans="1:9" x14ac:dyDescent="0.25">
      <c r="A12" s="33">
        <f t="shared" si="0"/>
        <v>7</v>
      </c>
      <c r="B12" s="312" t="s">
        <v>614</v>
      </c>
      <c r="C12" s="514">
        <v>71961.72</v>
      </c>
      <c r="D12" s="514">
        <v>21752.87</v>
      </c>
      <c r="E12" s="514">
        <v>73263.360000000001</v>
      </c>
      <c r="F12" s="514">
        <v>18904.71</v>
      </c>
      <c r="G12" s="144">
        <f t="shared" si="1"/>
        <v>1301.6399999999994</v>
      </c>
      <c r="H12" s="145">
        <f t="shared" si="1"/>
        <v>-2848.16</v>
      </c>
    </row>
    <row r="13" spans="1:9" ht="31.5" x14ac:dyDescent="0.25">
      <c r="A13" s="33">
        <f t="shared" si="0"/>
        <v>8</v>
      </c>
      <c r="B13" s="312" t="s">
        <v>62</v>
      </c>
      <c r="C13" s="514">
        <v>115430.13</v>
      </c>
      <c r="D13" s="514">
        <v>4406.25</v>
      </c>
      <c r="E13" s="514">
        <v>95430.07</v>
      </c>
      <c r="F13" s="514">
        <v>3917.05</v>
      </c>
      <c r="G13" s="144">
        <f t="shared" si="1"/>
        <v>-20000.059999999998</v>
      </c>
      <c r="H13" s="145">
        <f t="shared" si="1"/>
        <v>-489.19999999999982</v>
      </c>
    </row>
    <row r="14" spans="1:9" x14ac:dyDescent="0.25">
      <c r="A14" s="33">
        <f t="shared" si="0"/>
        <v>9</v>
      </c>
      <c r="B14" s="312" t="s">
        <v>63</v>
      </c>
      <c r="C14" s="514">
        <v>151105</v>
      </c>
      <c r="D14" s="514">
        <v>311053.21999999997</v>
      </c>
      <c r="E14" s="514">
        <v>196308.54</v>
      </c>
      <c r="F14" s="514">
        <v>264983.31</v>
      </c>
      <c r="G14" s="144">
        <f t="shared" si="1"/>
        <v>45203.540000000008</v>
      </c>
      <c r="H14" s="145">
        <f t="shared" si="1"/>
        <v>-46069.909999999974</v>
      </c>
    </row>
    <row r="15" spans="1:9" x14ac:dyDescent="0.25">
      <c r="A15" s="33">
        <f t="shared" si="0"/>
        <v>10</v>
      </c>
      <c r="B15" s="317" t="s">
        <v>64</v>
      </c>
      <c r="C15" s="514">
        <v>496272.42</v>
      </c>
      <c r="D15" s="514">
        <v>987.5</v>
      </c>
      <c r="E15" s="514">
        <v>567414.06000000006</v>
      </c>
      <c r="F15" s="514">
        <v>34884.82</v>
      </c>
      <c r="G15" s="144">
        <f t="shared" si="1"/>
        <v>71141.640000000072</v>
      </c>
      <c r="H15" s="145">
        <f t="shared" si="1"/>
        <v>33897.32</v>
      </c>
    </row>
    <row r="16" spans="1:9" ht="16.149999999999999" customHeight="1" x14ac:dyDescent="0.25">
      <c r="A16" s="33">
        <f t="shared" si="0"/>
        <v>11</v>
      </c>
      <c r="B16" s="312" t="s">
        <v>65</v>
      </c>
      <c r="C16" s="514">
        <v>710340.91</v>
      </c>
      <c r="D16" s="514">
        <v>4994.99</v>
      </c>
      <c r="E16" s="514">
        <v>244472.12</v>
      </c>
      <c r="F16" s="514">
        <v>1047.45</v>
      </c>
      <c r="G16" s="144">
        <f t="shared" si="1"/>
        <v>-465868.79000000004</v>
      </c>
      <c r="H16" s="145">
        <f t="shared" si="1"/>
        <v>-3947.54</v>
      </c>
    </row>
    <row r="17" spans="1:8" ht="31.5" x14ac:dyDescent="0.25">
      <c r="A17" s="33">
        <f t="shared" si="0"/>
        <v>12</v>
      </c>
      <c r="B17" s="317" t="s">
        <v>734</v>
      </c>
      <c r="C17" s="514">
        <v>343897.18</v>
      </c>
      <c r="D17" s="514">
        <v>25450.799999999999</v>
      </c>
      <c r="E17" s="514">
        <v>594375.81999999995</v>
      </c>
      <c r="F17" s="514">
        <v>19764.14</v>
      </c>
      <c r="G17" s="144">
        <f t="shared" si="1"/>
        <v>250478.63999999996</v>
      </c>
      <c r="H17" s="145">
        <f t="shared" si="1"/>
        <v>-5686.66</v>
      </c>
    </row>
    <row r="18" spans="1:8" x14ac:dyDescent="0.25">
      <c r="A18" s="33">
        <f t="shared" si="0"/>
        <v>13</v>
      </c>
      <c r="B18" s="312" t="s">
        <v>667</v>
      </c>
      <c r="C18" s="514">
        <v>23844.6</v>
      </c>
      <c r="D18" s="514">
        <v>3657.86</v>
      </c>
      <c r="E18" s="514">
        <v>39193.99</v>
      </c>
      <c r="F18" s="514">
        <v>8802.93</v>
      </c>
      <c r="G18" s="144">
        <f t="shared" si="1"/>
        <v>15349.39</v>
      </c>
      <c r="H18" s="145">
        <f t="shared" si="1"/>
        <v>5145.07</v>
      </c>
    </row>
    <row r="19" spans="1:8" x14ac:dyDescent="0.25">
      <c r="A19" s="33">
        <f t="shared" si="0"/>
        <v>14</v>
      </c>
      <c r="B19" s="314" t="s">
        <v>796</v>
      </c>
      <c r="C19" s="504">
        <f>SUM(C20:C25)</f>
        <v>1671271.1199999996</v>
      </c>
      <c r="D19" s="504">
        <f>SUM(D20:D25)</f>
        <v>57085.380000000005</v>
      </c>
      <c r="E19" s="504">
        <f>SUM(E20:E25)</f>
        <v>1725401.1199999999</v>
      </c>
      <c r="F19" s="504">
        <f>SUM(F20:F25)</f>
        <v>60584.53</v>
      </c>
      <c r="G19" s="61">
        <f t="shared" si="1"/>
        <v>54130.000000000233</v>
      </c>
      <c r="H19" s="136">
        <f t="shared" si="1"/>
        <v>3499.1499999999942</v>
      </c>
    </row>
    <row r="20" spans="1:8" x14ac:dyDescent="0.25">
      <c r="A20" s="33">
        <f t="shared" si="0"/>
        <v>15</v>
      </c>
      <c r="B20" s="312" t="s">
        <v>615</v>
      </c>
      <c r="C20" s="514">
        <v>528227.57999999996</v>
      </c>
      <c r="D20" s="514">
        <v>19084.260000000002</v>
      </c>
      <c r="E20" s="514">
        <v>551513.69999999995</v>
      </c>
      <c r="F20" s="514">
        <v>19794.39</v>
      </c>
      <c r="G20" s="144">
        <f t="shared" si="1"/>
        <v>23286.119999999995</v>
      </c>
      <c r="H20" s="145">
        <f t="shared" si="1"/>
        <v>710.12999999999738</v>
      </c>
    </row>
    <row r="21" spans="1:8" x14ac:dyDescent="0.25">
      <c r="A21" s="33">
        <f t="shared" si="0"/>
        <v>16</v>
      </c>
      <c r="B21" s="312" t="s">
        <v>616</v>
      </c>
      <c r="C21" s="514">
        <v>901301.95</v>
      </c>
      <c r="D21" s="514">
        <v>15415.27</v>
      </c>
      <c r="E21" s="514">
        <v>967930.16</v>
      </c>
      <c r="F21" s="514">
        <v>16975.96</v>
      </c>
      <c r="G21" s="144">
        <f t="shared" si="1"/>
        <v>66628.210000000079</v>
      </c>
      <c r="H21" s="145">
        <f t="shared" si="1"/>
        <v>1560.6899999999987</v>
      </c>
    </row>
    <row r="22" spans="1:8" x14ac:dyDescent="0.25">
      <c r="A22" s="33">
        <f t="shared" si="0"/>
        <v>17</v>
      </c>
      <c r="B22" s="312" t="s">
        <v>617</v>
      </c>
      <c r="C22" s="514">
        <v>155143.13999999998</v>
      </c>
      <c r="D22" s="514">
        <v>16664.079999999998</v>
      </c>
      <c r="E22" s="514">
        <v>158093.24</v>
      </c>
      <c r="F22" s="514">
        <v>18251.02</v>
      </c>
      <c r="G22" s="144">
        <f t="shared" si="1"/>
        <v>2950.1000000000058</v>
      </c>
      <c r="H22" s="145">
        <f t="shared" si="1"/>
        <v>1586.9400000000023</v>
      </c>
    </row>
    <row r="23" spans="1:8" x14ac:dyDescent="0.25">
      <c r="A23" s="33">
        <f t="shared" si="0"/>
        <v>18</v>
      </c>
      <c r="B23" s="312" t="s">
        <v>618</v>
      </c>
      <c r="C23" s="514">
        <v>85366.55</v>
      </c>
      <c r="D23" s="514">
        <v>5921.77</v>
      </c>
      <c r="E23" s="514">
        <v>45914.04</v>
      </c>
      <c r="F23" s="514">
        <v>5563.16</v>
      </c>
      <c r="G23" s="144">
        <f t="shared" si="1"/>
        <v>-39452.51</v>
      </c>
      <c r="H23" s="145">
        <f t="shared" si="1"/>
        <v>-358.61000000000058</v>
      </c>
    </row>
    <row r="24" spans="1:8" x14ac:dyDescent="0.25">
      <c r="A24" s="33">
        <f t="shared" si="0"/>
        <v>19</v>
      </c>
      <c r="B24" s="312" t="s">
        <v>619</v>
      </c>
      <c r="C24" s="514">
        <v>1231.9000000000001</v>
      </c>
      <c r="D24" s="514" t="s">
        <v>857</v>
      </c>
      <c r="E24" s="514">
        <v>1949.98</v>
      </c>
      <c r="F24" s="514"/>
      <c r="G24" s="144">
        <f t="shared" si="1"/>
        <v>718.07999999999993</v>
      </c>
      <c r="H24" s="145">
        <f t="shared" si="1"/>
        <v>0</v>
      </c>
    </row>
    <row r="25" spans="1:8" x14ac:dyDescent="0.25">
      <c r="A25" s="33">
        <f t="shared" si="0"/>
        <v>20</v>
      </c>
      <c r="B25" s="312" t="s">
        <v>668</v>
      </c>
      <c r="C25" s="514" t="s">
        <v>857</v>
      </c>
      <c r="D25" s="514" t="s">
        <v>857</v>
      </c>
      <c r="E25" s="514">
        <v>0</v>
      </c>
      <c r="F25" s="514">
        <v>0</v>
      </c>
      <c r="G25" s="144">
        <f t="shared" si="1"/>
        <v>0</v>
      </c>
      <c r="H25" s="145">
        <f t="shared" si="1"/>
        <v>0</v>
      </c>
    </row>
    <row r="26" spans="1:8" x14ac:dyDescent="0.25">
      <c r="A26" s="33">
        <f t="shared" si="0"/>
        <v>21</v>
      </c>
      <c r="B26" s="314" t="s">
        <v>212</v>
      </c>
      <c r="C26" s="515" t="s">
        <v>202</v>
      </c>
      <c r="D26" s="515" t="s">
        <v>202</v>
      </c>
      <c r="E26" s="515" t="s">
        <v>202</v>
      </c>
      <c r="F26" s="515" t="s">
        <v>202</v>
      </c>
      <c r="G26" s="66" t="s">
        <v>97</v>
      </c>
      <c r="H26" s="137" t="s">
        <v>97</v>
      </c>
    </row>
    <row r="27" spans="1:8" x14ac:dyDescent="0.25">
      <c r="A27" s="33">
        <f t="shared" si="0"/>
        <v>22</v>
      </c>
      <c r="B27" s="314" t="s">
        <v>797</v>
      </c>
      <c r="C27" s="504">
        <f>SUM(C28:C31)</f>
        <v>0</v>
      </c>
      <c r="D27" s="504">
        <f>SUM(D28:D31)</f>
        <v>60805.279999999999</v>
      </c>
      <c r="E27" s="504">
        <f>SUM(E28:E31)</f>
        <v>0</v>
      </c>
      <c r="F27" s="504">
        <f>SUM(F28:F31)</f>
        <v>66714.820000000007</v>
      </c>
      <c r="G27" s="61">
        <f t="shared" si="1"/>
        <v>0</v>
      </c>
      <c r="H27" s="136">
        <f t="shared" si="1"/>
        <v>5909.5400000000081</v>
      </c>
    </row>
    <row r="28" spans="1:8" x14ac:dyDescent="0.25">
      <c r="A28" s="33">
        <f t="shared" si="0"/>
        <v>23</v>
      </c>
      <c r="B28" s="312" t="s">
        <v>173</v>
      </c>
      <c r="C28" s="514"/>
      <c r="D28" s="514"/>
      <c r="E28" s="514"/>
      <c r="F28" s="514"/>
      <c r="G28" s="144">
        <f t="shared" si="1"/>
        <v>0</v>
      </c>
      <c r="H28" s="145">
        <f t="shared" si="1"/>
        <v>0</v>
      </c>
    </row>
    <row r="29" spans="1:8" x14ac:dyDescent="0.25">
      <c r="A29" s="33">
        <f t="shared" si="0"/>
        <v>24</v>
      </c>
      <c r="B29" s="315" t="s">
        <v>193</v>
      </c>
      <c r="C29" s="514"/>
      <c r="D29" s="514"/>
      <c r="E29" s="514"/>
      <c r="F29" s="514"/>
      <c r="G29" s="144">
        <f t="shared" si="1"/>
        <v>0</v>
      </c>
      <c r="H29" s="145">
        <f t="shared" si="1"/>
        <v>0</v>
      </c>
    </row>
    <row r="30" spans="1:8" x14ac:dyDescent="0.25">
      <c r="A30" s="33">
        <f t="shared" si="0"/>
        <v>25</v>
      </c>
      <c r="B30" s="315" t="s">
        <v>26</v>
      </c>
      <c r="C30" s="514"/>
      <c r="D30" s="514"/>
      <c r="E30" s="514"/>
      <c r="F30" s="514"/>
      <c r="G30" s="144">
        <f t="shared" si="1"/>
        <v>0</v>
      </c>
      <c r="H30" s="145">
        <f t="shared" si="1"/>
        <v>0</v>
      </c>
    </row>
    <row r="31" spans="1:8" x14ac:dyDescent="0.25">
      <c r="A31" s="33">
        <f t="shared" si="0"/>
        <v>26</v>
      </c>
      <c r="B31" s="312" t="s">
        <v>27</v>
      </c>
      <c r="C31" s="514">
        <v>0</v>
      </c>
      <c r="D31" s="514">
        <v>60805.279999999999</v>
      </c>
      <c r="E31" s="514">
        <v>0</v>
      </c>
      <c r="F31" s="514">
        <v>66714.820000000007</v>
      </c>
      <c r="G31" s="144">
        <f t="shared" si="1"/>
        <v>0</v>
      </c>
      <c r="H31" s="145">
        <f t="shared" si="1"/>
        <v>5909.5400000000081</v>
      </c>
    </row>
    <row r="32" spans="1:8" x14ac:dyDescent="0.25">
      <c r="A32" s="33">
        <f t="shared" si="0"/>
        <v>27</v>
      </c>
      <c r="B32" s="314" t="s">
        <v>798</v>
      </c>
      <c r="C32" s="504">
        <f>SUM(C33:C39)</f>
        <v>1265862.79</v>
      </c>
      <c r="D32" s="504">
        <f>SUM(D33:D39)</f>
        <v>15347.41</v>
      </c>
      <c r="E32" s="504">
        <f>SUM(E33:E39)</f>
        <v>1558392.6900000002</v>
      </c>
      <c r="F32" s="504">
        <f>SUM(F33:F39)</f>
        <v>19758.670000000002</v>
      </c>
      <c r="G32" s="61">
        <f t="shared" si="1"/>
        <v>292529.90000000014</v>
      </c>
      <c r="H32" s="136">
        <f t="shared" si="1"/>
        <v>4411.260000000002</v>
      </c>
    </row>
    <row r="33" spans="1:9" x14ac:dyDescent="0.25">
      <c r="A33" s="33">
        <f t="shared" si="0"/>
        <v>28</v>
      </c>
      <c r="B33" s="312" t="s">
        <v>66</v>
      </c>
      <c r="C33" s="514">
        <v>970346.17</v>
      </c>
      <c r="D33" s="514">
        <v>0</v>
      </c>
      <c r="E33" s="514">
        <v>1272482.57</v>
      </c>
      <c r="F33" s="514">
        <v>5152.28</v>
      </c>
      <c r="G33" s="144">
        <f t="shared" si="1"/>
        <v>302136.40000000002</v>
      </c>
      <c r="H33" s="145">
        <f t="shared" si="1"/>
        <v>5152.28</v>
      </c>
    </row>
    <row r="34" spans="1:9" x14ac:dyDescent="0.25">
      <c r="A34" s="33">
        <f t="shared" si="0"/>
        <v>29</v>
      </c>
      <c r="B34" s="312" t="s">
        <v>67</v>
      </c>
      <c r="C34" s="514">
        <v>152110.76</v>
      </c>
      <c r="D34" s="514">
        <v>6331.98</v>
      </c>
      <c r="E34" s="514">
        <v>196974.28</v>
      </c>
      <c r="F34" s="514">
        <v>5031.7</v>
      </c>
      <c r="G34" s="144">
        <f t="shared" si="1"/>
        <v>44863.51999999999</v>
      </c>
      <c r="H34" s="145">
        <f t="shared" si="1"/>
        <v>-1300.2799999999997</v>
      </c>
    </row>
    <row r="35" spans="1:9" x14ac:dyDescent="0.25">
      <c r="A35" s="33">
        <f t="shared" si="0"/>
        <v>30</v>
      </c>
      <c r="B35" s="312" t="s">
        <v>68</v>
      </c>
      <c r="C35" s="514">
        <v>16027.62</v>
      </c>
      <c r="D35" s="514">
        <v>1668.11</v>
      </c>
      <c r="E35" s="514">
        <v>14654.97</v>
      </c>
      <c r="F35" s="514">
        <v>2512.8000000000002</v>
      </c>
      <c r="G35" s="144">
        <f t="shared" si="1"/>
        <v>-1372.6500000000015</v>
      </c>
      <c r="H35" s="145">
        <f t="shared" si="1"/>
        <v>844.69000000000028</v>
      </c>
    </row>
    <row r="36" spans="1:9" x14ac:dyDescent="0.25">
      <c r="A36" s="33">
        <f t="shared" si="0"/>
        <v>31</v>
      </c>
      <c r="B36" s="312" t="s">
        <v>69</v>
      </c>
      <c r="C36" s="514">
        <v>45154.13</v>
      </c>
      <c r="D36" s="514">
        <v>5072.22</v>
      </c>
      <c r="E36" s="514">
        <v>35973.86</v>
      </c>
      <c r="F36" s="514">
        <v>5322.56</v>
      </c>
      <c r="G36" s="144">
        <f t="shared" si="1"/>
        <v>-9180.2699999999968</v>
      </c>
      <c r="H36" s="145">
        <f t="shared" si="1"/>
        <v>250.34000000000015</v>
      </c>
    </row>
    <row r="37" spans="1:9" x14ac:dyDescent="0.25">
      <c r="A37" s="33">
        <f t="shared" si="0"/>
        <v>32</v>
      </c>
      <c r="B37" s="317" t="s">
        <v>71</v>
      </c>
      <c r="C37" s="514">
        <v>17019.75</v>
      </c>
      <c r="D37" s="514">
        <v>1266.0999999999999</v>
      </c>
      <c r="E37" s="514">
        <v>1194.29</v>
      </c>
      <c r="F37" s="514">
        <v>0</v>
      </c>
      <c r="G37" s="144">
        <f t="shared" si="1"/>
        <v>-15825.46</v>
      </c>
      <c r="H37" s="145">
        <f t="shared" si="1"/>
        <v>-1266.0999999999999</v>
      </c>
    </row>
    <row r="38" spans="1:9" x14ac:dyDescent="0.25">
      <c r="A38" s="33">
        <f t="shared" si="0"/>
        <v>33</v>
      </c>
      <c r="B38" s="312" t="s">
        <v>630</v>
      </c>
      <c r="C38" s="514">
        <v>38941.15</v>
      </c>
      <c r="D38" s="514">
        <v>946</v>
      </c>
      <c r="E38" s="514">
        <v>31270.080000000002</v>
      </c>
      <c r="F38" s="514">
        <v>1203.18</v>
      </c>
      <c r="G38" s="144">
        <f t="shared" si="1"/>
        <v>-7671.07</v>
      </c>
      <c r="H38" s="145">
        <f t="shared" si="1"/>
        <v>257.18000000000006</v>
      </c>
    </row>
    <row r="39" spans="1:9" x14ac:dyDescent="0.25">
      <c r="A39" s="33">
        <f t="shared" si="0"/>
        <v>34</v>
      </c>
      <c r="B39" s="312" t="s">
        <v>72</v>
      </c>
      <c r="C39" s="514">
        <v>26263.21</v>
      </c>
      <c r="D39" s="514">
        <v>63</v>
      </c>
      <c r="E39" s="514">
        <v>5842.64</v>
      </c>
      <c r="F39" s="514">
        <v>536.15</v>
      </c>
      <c r="G39" s="144">
        <f t="shared" si="1"/>
        <v>-20420.57</v>
      </c>
      <c r="H39" s="145">
        <f t="shared" si="1"/>
        <v>473.15</v>
      </c>
    </row>
    <row r="40" spans="1:9" x14ac:dyDescent="0.25">
      <c r="A40" s="33">
        <f t="shared" si="0"/>
        <v>35</v>
      </c>
      <c r="B40" s="314" t="s">
        <v>799</v>
      </c>
      <c r="C40" s="504">
        <f>C41+C42</f>
        <v>1119298.8400000001</v>
      </c>
      <c r="D40" s="504">
        <f>D41+D42</f>
        <v>11017.960000000001</v>
      </c>
      <c r="E40" s="504">
        <f>E41+E42</f>
        <v>1249281.5999999999</v>
      </c>
      <c r="F40" s="504">
        <f>F41+F42</f>
        <v>6867.5099999999993</v>
      </c>
      <c r="G40" s="61">
        <f t="shared" si="1"/>
        <v>129982.75999999978</v>
      </c>
      <c r="H40" s="136">
        <f t="shared" si="1"/>
        <v>-4150.4500000000016</v>
      </c>
    </row>
    <row r="41" spans="1:9" x14ac:dyDescent="0.25">
      <c r="A41" s="33">
        <f t="shared" si="0"/>
        <v>36</v>
      </c>
      <c r="B41" s="312" t="s">
        <v>620</v>
      </c>
      <c r="C41" s="514">
        <v>123369.45000000001</v>
      </c>
      <c r="D41" s="514">
        <v>10467.69</v>
      </c>
      <c r="E41" s="514">
        <v>130838.45</v>
      </c>
      <c r="F41" s="514">
        <v>6628.44</v>
      </c>
      <c r="G41" s="144">
        <f t="shared" si="1"/>
        <v>7468.9999999999854</v>
      </c>
      <c r="H41" s="145">
        <f t="shared" si="1"/>
        <v>-3839.2500000000009</v>
      </c>
    </row>
    <row r="42" spans="1:9" x14ac:dyDescent="0.25">
      <c r="A42" s="33">
        <f t="shared" si="0"/>
        <v>37</v>
      </c>
      <c r="B42" s="312" t="s">
        <v>693</v>
      </c>
      <c r="C42" s="514">
        <v>995929.39</v>
      </c>
      <c r="D42" s="514">
        <v>550.27</v>
      </c>
      <c r="E42" s="514">
        <v>1118443.1499999999</v>
      </c>
      <c r="F42" s="514">
        <v>239.07</v>
      </c>
      <c r="G42" s="144">
        <f t="shared" si="1"/>
        <v>122513.75999999989</v>
      </c>
      <c r="H42" s="145">
        <f t="shared" si="1"/>
        <v>-311.2</v>
      </c>
    </row>
    <row r="43" spans="1:9" x14ac:dyDescent="0.25">
      <c r="A43" s="33">
        <f t="shared" si="0"/>
        <v>38</v>
      </c>
      <c r="B43" s="314" t="s">
        <v>213</v>
      </c>
      <c r="C43" s="516">
        <v>41354.050000000003</v>
      </c>
      <c r="D43" s="516">
        <v>1236.99</v>
      </c>
      <c r="E43" s="516">
        <v>68258.2</v>
      </c>
      <c r="F43" s="516">
        <v>1391.65</v>
      </c>
      <c r="G43" s="144">
        <f t="shared" si="1"/>
        <v>26904.149999999994</v>
      </c>
      <c r="H43" s="145">
        <f t="shared" si="1"/>
        <v>154.66000000000008</v>
      </c>
    </row>
    <row r="44" spans="1:9" x14ac:dyDescent="0.25">
      <c r="A44" s="33">
        <f t="shared" si="0"/>
        <v>39</v>
      </c>
      <c r="B44" s="314" t="s">
        <v>800</v>
      </c>
      <c r="C44" s="504">
        <f>SUM(C45:C59)</f>
        <v>5019460.8300000019</v>
      </c>
      <c r="D44" s="504">
        <f>SUM(D45:D59)</f>
        <v>188890.95</v>
      </c>
      <c r="E44" s="504">
        <f>SUM(E45:E59)</f>
        <v>5133672.57</v>
      </c>
      <c r="F44" s="504">
        <f>SUM(F45:F59)</f>
        <v>154960.04999999999</v>
      </c>
      <c r="G44" s="61">
        <f t="shared" si="1"/>
        <v>114211.73999999836</v>
      </c>
      <c r="H44" s="136">
        <f t="shared" si="1"/>
        <v>-33930.900000000023</v>
      </c>
    </row>
    <row r="45" spans="1:9" x14ac:dyDescent="0.25">
      <c r="A45" s="33">
        <f t="shared" si="0"/>
        <v>40</v>
      </c>
      <c r="B45" s="312" t="s">
        <v>74</v>
      </c>
      <c r="C45" s="514">
        <v>-6008.7099999999991</v>
      </c>
      <c r="D45" s="514">
        <v>26387</v>
      </c>
      <c r="E45" s="514">
        <v>44521.08</v>
      </c>
      <c r="F45" s="514">
        <v>2958.51</v>
      </c>
      <c r="G45" s="144">
        <f t="shared" si="1"/>
        <v>50529.79</v>
      </c>
      <c r="H45" s="145">
        <f t="shared" si="1"/>
        <v>-23428.489999999998</v>
      </c>
    </row>
    <row r="46" spans="1:9" x14ac:dyDescent="0.25">
      <c r="A46" s="33">
        <f t="shared" si="0"/>
        <v>41</v>
      </c>
      <c r="B46" s="312" t="s">
        <v>73</v>
      </c>
      <c r="C46" s="514">
        <v>8183.02</v>
      </c>
      <c r="D46" s="514">
        <v>1202.5</v>
      </c>
      <c r="E46" s="514">
        <v>12158.43</v>
      </c>
      <c r="F46" s="514">
        <v>1175</v>
      </c>
      <c r="G46" s="144">
        <f t="shared" si="1"/>
        <v>3975.41</v>
      </c>
      <c r="H46" s="145">
        <f t="shared" si="1"/>
        <v>-27.5</v>
      </c>
    </row>
    <row r="47" spans="1:9" x14ac:dyDescent="0.25">
      <c r="A47" s="33">
        <f t="shared" si="0"/>
        <v>42</v>
      </c>
      <c r="B47" s="454" t="s">
        <v>808</v>
      </c>
      <c r="C47" s="514">
        <v>143997.09000000003</v>
      </c>
      <c r="D47" s="514">
        <v>378.93</v>
      </c>
      <c r="E47" s="514">
        <v>182465.72</v>
      </c>
      <c r="F47" s="514">
        <v>115</v>
      </c>
      <c r="G47" s="144">
        <f t="shared" si="1"/>
        <v>38468.629999999976</v>
      </c>
      <c r="H47" s="145">
        <f t="shared" si="1"/>
        <v>-263.93</v>
      </c>
      <c r="I47" s="373"/>
    </row>
    <row r="48" spans="1:9" x14ac:dyDescent="0.25">
      <c r="A48" s="33">
        <f t="shared" si="0"/>
        <v>43</v>
      </c>
      <c r="B48" s="312" t="s">
        <v>75</v>
      </c>
      <c r="C48" s="514">
        <v>12602.94</v>
      </c>
      <c r="D48" s="514">
        <v>127158.17</v>
      </c>
      <c r="E48" s="514">
        <v>11581.25</v>
      </c>
      <c r="F48" s="514">
        <v>55323.85</v>
      </c>
      <c r="G48" s="144">
        <f t="shared" si="1"/>
        <v>-1021.6900000000005</v>
      </c>
      <c r="H48" s="145">
        <f t="shared" si="1"/>
        <v>-71834.320000000007</v>
      </c>
    </row>
    <row r="49" spans="1:12" x14ac:dyDescent="0.25">
      <c r="A49" s="33">
        <f t="shared" si="0"/>
        <v>44</v>
      </c>
      <c r="B49" s="312" t="s">
        <v>621</v>
      </c>
      <c r="C49" s="514">
        <v>51235.710000000006</v>
      </c>
      <c r="D49" s="514">
        <v>5641.2900000000009</v>
      </c>
      <c r="E49" s="514">
        <v>41488.69</v>
      </c>
      <c r="F49" s="514">
        <v>4277.6499999999996</v>
      </c>
      <c r="G49" s="144">
        <f t="shared" si="1"/>
        <v>-9747.0200000000041</v>
      </c>
      <c r="H49" s="145">
        <f t="shared" si="1"/>
        <v>-1363.6400000000012</v>
      </c>
    </row>
    <row r="50" spans="1:12" x14ac:dyDescent="0.25">
      <c r="A50" s="33">
        <f t="shared" si="0"/>
        <v>45</v>
      </c>
      <c r="B50" s="312" t="s">
        <v>76</v>
      </c>
      <c r="C50" s="514">
        <v>11266.21</v>
      </c>
      <c r="D50" s="514">
        <v>2366.64</v>
      </c>
      <c r="E50" s="514">
        <v>833.94</v>
      </c>
      <c r="F50" s="514">
        <v>630.55999999999995</v>
      </c>
      <c r="G50" s="144">
        <f t="shared" si="1"/>
        <v>-10432.269999999999</v>
      </c>
      <c r="H50" s="145">
        <f t="shared" si="1"/>
        <v>-1736.08</v>
      </c>
    </row>
    <row r="51" spans="1:12" x14ac:dyDescent="0.25">
      <c r="A51" s="33">
        <f t="shared" si="0"/>
        <v>46</v>
      </c>
      <c r="B51" s="312" t="s">
        <v>622</v>
      </c>
      <c r="C51" s="514">
        <v>47717.290000000008</v>
      </c>
      <c r="D51" s="514">
        <v>2671.8999999999996</v>
      </c>
      <c r="E51" s="514">
        <v>53814.1</v>
      </c>
      <c r="F51" s="514">
        <v>3106.8</v>
      </c>
      <c r="G51" s="144">
        <f t="shared" si="1"/>
        <v>6096.8099999999904</v>
      </c>
      <c r="H51" s="145">
        <f t="shared" si="1"/>
        <v>434.90000000000055</v>
      </c>
    </row>
    <row r="52" spans="1:12" x14ac:dyDescent="0.25">
      <c r="A52" s="33">
        <f t="shared" si="0"/>
        <v>47</v>
      </c>
      <c r="B52" s="312" t="s">
        <v>623</v>
      </c>
      <c r="C52" s="514">
        <v>40225.57</v>
      </c>
      <c r="D52" s="514">
        <v>615.24</v>
      </c>
      <c r="E52" s="514">
        <v>31513.72</v>
      </c>
      <c r="F52" s="514">
        <v>1625.44</v>
      </c>
      <c r="G52" s="144">
        <f t="shared" si="1"/>
        <v>-8711.8499999999985</v>
      </c>
      <c r="H52" s="145">
        <f t="shared" si="1"/>
        <v>1010.2</v>
      </c>
    </row>
    <row r="53" spans="1:12" x14ac:dyDescent="0.25">
      <c r="A53" s="33">
        <f t="shared" si="0"/>
        <v>48</v>
      </c>
      <c r="B53" s="312" t="s">
        <v>77</v>
      </c>
      <c r="C53" s="514">
        <v>43536.909999999989</v>
      </c>
      <c r="D53" s="514">
        <v>834.45</v>
      </c>
      <c r="E53" s="514">
        <v>50622.41</v>
      </c>
      <c r="F53" s="514">
        <v>674.23</v>
      </c>
      <c r="G53" s="144">
        <f t="shared" si="1"/>
        <v>7085.5000000000146</v>
      </c>
      <c r="H53" s="145">
        <f t="shared" si="1"/>
        <v>-160.22000000000003</v>
      </c>
    </row>
    <row r="54" spans="1:12" x14ac:dyDescent="0.25">
      <c r="A54" s="33">
        <f t="shared" si="0"/>
        <v>49</v>
      </c>
      <c r="B54" s="312" t="s">
        <v>78</v>
      </c>
      <c r="C54" s="514">
        <v>899.76</v>
      </c>
      <c r="D54" s="514" t="s">
        <v>857</v>
      </c>
      <c r="E54" s="514">
        <v>0</v>
      </c>
      <c r="F54" s="514">
        <v>0</v>
      </c>
      <c r="G54" s="144">
        <f t="shared" si="1"/>
        <v>-899.76</v>
      </c>
      <c r="H54" s="145">
        <f t="shared" si="1"/>
        <v>0</v>
      </c>
    </row>
    <row r="55" spans="1:12" x14ac:dyDescent="0.25">
      <c r="A55" s="33">
        <f t="shared" si="0"/>
        <v>50</v>
      </c>
      <c r="B55" s="312" t="s">
        <v>669</v>
      </c>
      <c r="C55" s="514">
        <v>14496.69</v>
      </c>
      <c r="D55" s="514">
        <v>545.01</v>
      </c>
      <c r="E55" s="514">
        <v>10312.049999999999</v>
      </c>
      <c r="F55" s="514">
        <v>154.43</v>
      </c>
      <c r="G55" s="144">
        <f t="shared" si="1"/>
        <v>-4184.6400000000012</v>
      </c>
      <c r="H55" s="145">
        <f t="shared" si="1"/>
        <v>-390.58</v>
      </c>
    </row>
    <row r="56" spans="1:12" x14ac:dyDescent="0.25">
      <c r="A56" s="33">
        <f t="shared" si="0"/>
        <v>51</v>
      </c>
      <c r="B56" s="312" t="s">
        <v>51</v>
      </c>
      <c r="C56" s="514">
        <v>46550.46</v>
      </c>
      <c r="D56" s="514">
        <v>710.83</v>
      </c>
      <c r="E56" s="514">
        <v>123131.56</v>
      </c>
      <c r="F56" s="514">
        <v>3364.49</v>
      </c>
      <c r="G56" s="144">
        <f t="shared" si="1"/>
        <v>76581.100000000006</v>
      </c>
      <c r="H56" s="145">
        <f t="shared" si="1"/>
        <v>2653.66</v>
      </c>
    </row>
    <row r="57" spans="1:12" x14ac:dyDescent="0.25">
      <c r="A57" s="33">
        <f t="shared" si="0"/>
        <v>52</v>
      </c>
      <c r="B57" s="312" t="s">
        <v>52</v>
      </c>
      <c r="C57" s="514">
        <v>100</v>
      </c>
      <c r="D57" s="514" t="s">
        <v>857</v>
      </c>
      <c r="E57" s="514">
        <v>0</v>
      </c>
      <c r="F57" s="514">
        <v>0</v>
      </c>
      <c r="G57" s="144">
        <f t="shared" si="1"/>
        <v>-100</v>
      </c>
      <c r="H57" s="145">
        <f t="shared" si="1"/>
        <v>0</v>
      </c>
    </row>
    <row r="58" spans="1:12" ht="47.25" x14ac:dyDescent="0.25">
      <c r="A58" s="33">
        <f t="shared" si="0"/>
        <v>53</v>
      </c>
      <c r="B58" s="312" t="s">
        <v>735</v>
      </c>
      <c r="C58" s="514">
        <v>4604657.8900000015</v>
      </c>
      <c r="D58" s="514">
        <v>20378.989999999998</v>
      </c>
      <c r="E58" s="514">
        <v>4571229.62</v>
      </c>
      <c r="F58" s="514">
        <v>81554.09</v>
      </c>
      <c r="G58" s="144">
        <f t="shared" si="1"/>
        <v>-33428.270000001416</v>
      </c>
      <c r="H58" s="145">
        <f t="shared" si="1"/>
        <v>61175.1</v>
      </c>
      <c r="J58" s="657"/>
      <c r="K58" s="657"/>
      <c r="L58" s="657"/>
    </row>
    <row r="59" spans="1:12" x14ac:dyDescent="0.25">
      <c r="A59" s="33">
        <f t="shared" si="0"/>
        <v>54</v>
      </c>
      <c r="B59" s="312" t="s">
        <v>727</v>
      </c>
      <c r="C59" s="514" t="s">
        <v>857</v>
      </c>
      <c r="D59" s="514" t="s">
        <v>857</v>
      </c>
      <c r="E59" s="514">
        <v>0</v>
      </c>
      <c r="F59" s="514">
        <v>0</v>
      </c>
      <c r="G59" s="144">
        <f t="shared" si="1"/>
        <v>0</v>
      </c>
      <c r="H59" s="145">
        <f t="shared" si="1"/>
        <v>0</v>
      </c>
    </row>
    <row r="60" spans="1:12" x14ac:dyDescent="0.25">
      <c r="A60" s="33">
        <f t="shared" si="0"/>
        <v>55</v>
      </c>
      <c r="B60" s="314" t="s">
        <v>801</v>
      </c>
      <c r="C60" s="504">
        <f>C61+C62</f>
        <v>23580576.66</v>
      </c>
      <c r="D60" s="504">
        <f>D61+D62</f>
        <v>409114.15</v>
      </c>
      <c r="E60" s="504">
        <f>E61+E62</f>
        <v>26568143.300000001</v>
      </c>
      <c r="F60" s="504">
        <f>F61+F62</f>
        <v>395341.42000000004</v>
      </c>
      <c r="G60" s="61">
        <f t="shared" si="1"/>
        <v>2987566.6400000006</v>
      </c>
      <c r="H60" s="136">
        <f t="shared" si="1"/>
        <v>-13772.729999999981</v>
      </c>
    </row>
    <row r="61" spans="1:12" x14ac:dyDescent="0.25">
      <c r="A61" s="33">
        <f t="shared" si="0"/>
        <v>56</v>
      </c>
      <c r="B61" s="312" t="s">
        <v>802</v>
      </c>
      <c r="C61" s="514">
        <v>23143619.550000001</v>
      </c>
      <c r="D61" s="514">
        <v>351192.71</v>
      </c>
      <c r="E61" s="514">
        <v>26069191.210000001</v>
      </c>
      <c r="F61" s="514">
        <v>369906.7</v>
      </c>
      <c r="G61" s="144">
        <f t="shared" si="1"/>
        <v>2925571.66</v>
      </c>
      <c r="H61" s="145">
        <f t="shared" si="1"/>
        <v>18713.989999999991</v>
      </c>
    </row>
    <row r="62" spans="1:12" x14ac:dyDescent="0.25">
      <c r="A62" s="33">
        <f t="shared" si="0"/>
        <v>57</v>
      </c>
      <c r="B62" s="314" t="s">
        <v>803</v>
      </c>
      <c r="C62" s="504">
        <f>SUM(C63:C65)</f>
        <v>436957.11</v>
      </c>
      <c r="D62" s="504">
        <f>SUM(D63:D65)</f>
        <v>57921.439999999995</v>
      </c>
      <c r="E62" s="504">
        <f>SUM(E63:E65)</f>
        <v>498952.08999999997</v>
      </c>
      <c r="F62" s="504">
        <f>SUM(F63:F65)</f>
        <v>25434.720000000001</v>
      </c>
      <c r="G62" s="61">
        <f t="shared" si="1"/>
        <v>61994.979999999981</v>
      </c>
      <c r="H62" s="136">
        <f t="shared" si="1"/>
        <v>-32486.719999999994</v>
      </c>
    </row>
    <row r="63" spans="1:12" s="131" customFormat="1" x14ac:dyDescent="0.2">
      <c r="A63" s="33">
        <f t="shared" si="0"/>
        <v>58</v>
      </c>
      <c r="B63" s="318" t="s">
        <v>2</v>
      </c>
      <c r="C63" s="517" t="s">
        <v>857</v>
      </c>
      <c r="D63" s="517"/>
      <c r="E63" s="517">
        <v>14.49</v>
      </c>
      <c r="F63" s="517">
        <v>57.96</v>
      </c>
      <c r="G63" s="144">
        <f t="shared" si="1"/>
        <v>14.49</v>
      </c>
      <c r="H63" s="145">
        <f t="shared" si="1"/>
        <v>57.96</v>
      </c>
    </row>
    <row r="64" spans="1:12" ht="31.5" x14ac:dyDescent="0.25">
      <c r="A64" s="33">
        <f t="shared" si="0"/>
        <v>59</v>
      </c>
      <c r="B64" s="318" t="s">
        <v>3</v>
      </c>
      <c r="C64" s="514">
        <v>402697.11</v>
      </c>
      <c r="D64" s="514">
        <v>52168.45</v>
      </c>
      <c r="E64" s="514">
        <v>452288.88</v>
      </c>
      <c r="F64" s="514">
        <v>21170.2</v>
      </c>
      <c r="G64" s="144">
        <f t="shared" si="1"/>
        <v>49591.770000000019</v>
      </c>
      <c r="H64" s="145">
        <f t="shared" si="1"/>
        <v>-30998.249999999996</v>
      </c>
    </row>
    <row r="65" spans="1:9" x14ac:dyDescent="0.25">
      <c r="A65" s="33">
        <f t="shared" si="0"/>
        <v>60</v>
      </c>
      <c r="B65" s="312" t="s">
        <v>151</v>
      </c>
      <c r="C65" s="514">
        <v>34260</v>
      </c>
      <c r="D65" s="514">
        <v>5752.99</v>
      </c>
      <c r="E65" s="514">
        <v>46648.72</v>
      </c>
      <c r="F65" s="514">
        <v>4206.5600000000004</v>
      </c>
      <c r="G65" s="144">
        <f t="shared" si="1"/>
        <v>12388.720000000001</v>
      </c>
      <c r="H65" s="145">
        <f t="shared" si="1"/>
        <v>-1546.4299999999994</v>
      </c>
    </row>
    <row r="66" spans="1:9" x14ac:dyDescent="0.25">
      <c r="A66" s="33">
        <f t="shared" si="0"/>
        <v>61</v>
      </c>
      <c r="B66" s="314" t="s">
        <v>112</v>
      </c>
      <c r="C66" s="514">
        <v>8117685.9600000018</v>
      </c>
      <c r="D66" s="514">
        <v>141288.86000000002</v>
      </c>
      <c r="E66" s="514">
        <v>9064281.2100000009</v>
      </c>
      <c r="F66" s="514">
        <v>136298.42000000001</v>
      </c>
      <c r="G66" s="144">
        <f t="shared" si="1"/>
        <v>946595.24999999907</v>
      </c>
      <c r="H66" s="145">
        <f t="shared" si="1"/>
        <v>-4990.4400000000023</v>
      </c>
    </row>
    <row r="67" spans="1:9" x14ac:dyDescent="0.25">
      <c r="A67" s="33">
        <f t="shared" si="0"/>
        <v>62</v>
      </c>
      <c r="B67" s="314" t="s">
        <v>12</v>
      </c>
      <c r="C67" s="514">
        <v>188122.47</v>
      </c>
      <c r="D67" s="514">
        <v>4908.33</v>
      </c>
      <c r="E67" s="514">
        <v>210503.01</v>
      </c>
      <c r="F67" s="514">
        <v>5199.99</v>
      </c>
      <c r="G67" s="144">
        <f t="shared" si="1"/>
        <v>22380.540000000008</v>
      </c>
      <c r="H67" s="145">
        <f t="shared" si="1"/>
        <v>291.65999999999985</v>
      </c>
    </row>
    <row r="68" spans="1:9" ht="18.75" customHeight="1" x14ac:dyDescent="0.25">
      <c r="A68" s="33">
        <f t="shared" si="0"/>
        <v>63</v>
      </c>
      <c r="B68" s="314" t="s">
        <v>804</v>
      </c>
      <c r="C68" s="504">
        <f>SUM(C69:C74)</f>
        <v>745446.29</v>
      </c>
      <c r="D68" s="504">
        <f>SUM(D69:D74)</f>
        <v>5681.8899999999994</v>
      </c>
      <c r="E68" s="504">
        <f>SUM(E69:E74)</f>
        <v>806300.73999999987</v>
      </c>
      <c r="F68" s="504">
        <f>SUM(F69:F74)</f>
        <v>12501.029999999999</v>
      </c>
      <c r="G68" s="61">
        <f t="shared" si="1"/>
        <v>60854.449999999837</v>
      </c>
      <c r="H68" s="136">
        <f t="shared" si="1"/>
        <v>6819.1399999999994</v>
      </c>
    </row>
    <row r="69" spans="1:9" x14ac:dyDescent="0.25">
      <c r="A69" s="33">
        <f t="shared" si="0"/>
        <v>64</v>
      </c>
      <c r="B69" s="312" t="s">
        <v>40</v>
      </c>
      <c r="C69" s="514">
        <v>250802.64</v>
      </c>
      <c r="D69" s="514">
        <v>3886.3399999999997</v>
      </c>
      <c r="E69" s="514">
        <v>279695.78999999998</v>
      </c>
      <c r="F69" s="514">
        <v>4016.84</v>
      </c>
      <c r="G69" s="144">
        <f t="shared" si="1"/>
        <v>28893.149999999965</v>
      </c>
      <c r="H69" s="145">
        <f t="shared" si="1"/>
        <v>130.50000000000045</v>
      </c>
    </row>
    <row r="70" spans="1:9" x14ac:dyDescent="0.25">
      <c r="A70" s="33">
        <f t="shared" si="0"/>
        <v>65</v>
      </c>
      <c r="B70" s="312" t="s">
        <v>702</v>
      </c>
      <c r="C70" s="514">
        <v>336856.69</v>
      </c>
      <c r="D70" s="514">
        <v>0</v>
      </c>
      <c r="E70" s="514">
        <v>362620.36</v>
      </c>
      <c r="F70" s="514">
        <v>0</v>
      </c>
      <c r="G70" s="144">
        <f t="shared" si="1"/>
        <v>25763.669999999984</v>
      </c>
      <c r="H70" s="145">
        <f t="shared" si="1"/>
        <v>0</v>
      </c>
    </row>
    <row r="71" spans="1:9" x14ac:dyDescent="0.25">
      <c r="A71" s="33">
        <f t="shared" si="0"/>
        <v>66</v>
      </c>
      <c r="B71" s="312" t="s">
        <v>79</v>
      </c>
      <c r="C71" s="514">
        <v>81253.84</v>
      </c>
      <c r="D71" s="514" t="s">
        <v>857</v>
      </c>
      <c r="E71" s="514">
        <v>71939.95</v>
      </c>
      <c r="F71" s="514">
        <v>4273.5</v>
      </c>
      <c r="G71" s="144">
        <f t="shared" si="1"/>
        <v>-9313.89</v>
      </c>
      <c r="H71" s="145">
        <f t="shared" si="1"/>
        <v>4273.5</v>
      </c>
    </row>
    <row r="72" spans="1:9" x14ac:dyDescent="0.25">
      <c r="A72" s="33">
        <f t="shared" ref="A72:A102" si="2">A71+1</f>
        <v>67</v>
      </c>
      <c r="B72" s="312" t="s">
        <v>80</v>
      </c>
      <c r="C72" s="514">
        <v>76533.119999999995</v>
      </c>
      <c r="D72" s="514">
        <v>1795.5499999999997</v>
      </c>
      <c r="E72" s="514">
        <v>92044.64</v>
      </c>
      <c r="F72" s="514">
        <v>4210.6899999999996</v>
      </c>
      <c r="G72" s="144">
        <f t="shared" ref="G72:H101" si="3">E72-C72</f>
        <v>15511.520000000004</v>
      </c>
      <c r="H72" s="145">
        <f t="shared" si="3"/>
        <v>2415.14</v>
      </c>
    </row>
    <row r="73" spans="1:9" x14ac:dyDescent="0.25">
      <c r="A73" s="33">
        <f t="shared" si="2"/>
        <v>68</v>
      </c>
      <c r="B73" s="312" t="s">
        <v>81</v>
      </c>
      <c r="C73" s="514" t="s">
        <v>857</v>
      </c>
      <c r="D73" s="514" t="s">
        <v>857</v>
      </c>
      <c r="E73" s="514">
        <v>0</v>
      </c>
      <c r="F73" s="514">
        <v>0</v>
      </c>
      <c r="G73" s="144">
        <f t="shared" si="3"/>
        <v>0</v>
      </c>
      <c r="H73" s="145">
        <f t="shared" si="3"/>
        <v>0</v>
      </c>
    </row>
    <row r="74" spans="1:9" x14ac:dyDescent="0.25">
      <c r="A74" s="33">
        <f t="shared" si="2"/>
        <v>69</v>
      </c>
      <c r="B74" s="312" t="s">
        <v>82</v>
      </c>
      <c r="C74" s="514" t="s">
        <v>857</v>
      </c>
      <c r="D74" s="514" t="s">
        <v>857</v>
      </c>
      <c r="E74" s="514">
        <v>0</v>
      </c>
      <c r="F74" s="514">
        <v>0</v>
      </c>
      <c r="G74" s="144">
        <f t="shared" si="3"/>
        <v>0</v>
      </c>
      <c r="H74" s="145">
        <f t="shared" si="3"/>
        <v>0</v>
      </c>
    </row>
    <row r="75" spans="1:9" x14ac:dyDescent="0.25">
      <c r="A75" s="33">
        <f t="shared" si="2"/>
        <v>70</v>
      </c>
      <c r="B75" s="314" t="s">
        <v>19</v>
      </c>
      <c r="C75" s="514" t="s">
        <v>857</v>
      </c>
      <c r="D75" s="514" t="s">
        <v>857</v>
      </c>
      <c r="E75" s="514">
        <v>0</v>
      </c>
      <c r="F75" s="514">
        <v>0</v>
      </c>
      <c r="G75" s="144">
        <f t="shared" si="3"/>
        <v>0</v>
      </c>
      <c r="H75" s="145">
        <f t="shared" si="3"/>
        <v>0</v>
      </c>
    </row>
    <row r="76" spans="1:9" x14ac:dyDescent="0.25">
      <c r="A76" s="33">
        <f t="shared" si="2"/>
        <v>71</v>
      </c>
      <c r="B76" s="314" t="s">
        <v>253</v>
      </c>
      <c r="C76" s="514" t="s">
        <v>857</v>
      </c>
      <c r="D76" s="514">
        <v>343.35</v>
      </c>
      <c r="E76" s="514">
        <v>0</v>
      </c>
      <c r="F76" s="514">
        <v>355.61</v>
      </c>
      <c r="G76" s="144">
        <f t="shared" si="3"/>
        <v>0</v>
      </c>
      <c r="H76" s="145">
        <f t="shared" si="3"/>
        <v>12.259999999999991</v>
      </c>
    </row>
    <row r="77" spans="1:9" x14ac:dyDescent="0.25">
      <c r="A77" s="33">
        <f t="shared" si="2"/>
        <v>72</v>
      </c>
      <c r="B77" s="314" t="s">
        <v>113</v>
      </c>
      <c r="C77" s="514">
        <v>23205.500000000004</v>
      </c>
      <c r="D77" s="514">
        <v>2100.38</v>
      </c>
      <c r="E77" s="514">
        <v>25206.98</v>
      </c>
      <c r="F77" s="514">
        <v>0</v>
      </c>
      <c r="G77" s="144">
        <f t="shared" si="3"/>
        <v>2001.4799999999959</v>
      </c>
      <c r="H77" s="145">
        <f t="shared" si="3"/>
        <v>-2100.38</v>
      </c>
    </row>
    <row r="78" spans="1:9" x14ac:dyDescent="0.25">
      <c r="A78" s="33">
        <f t="shared" si="2"/>
        <v>73</v>
      </c>
      <c r="B78" s="314" t="s">
        <v>190</v>
      </c>
      <c r="C78" s="514">
        <v>117053.03</v>
      </c>
      <c r="D78" s="514">
        <v>5036.6400000000003</v>
      </c>
      <c r="E78" s="514">
        <v>122952.07</v>
      </c>
      <c r="F78" s="514">
        <v>2412.17</v>
      </c>
      <c r="G78" s="144">
        <f t="shared" si="3"/>
        <v>5899.0400000000081</v>
      </c>
      <c r="H78" s="145">
        <f t="shared" si="3"/>
        <v>-2624.4700000000003</v>
      </c>
    </row>
    <row r="79" spans="1:9" x14ac:dyDescent="0.25">
      <c r="A79" s="33">
        <f t="shared" si="2"/>
        <v>74</v>
      </c>
      <c r="B79" s="314" t="s">
        <v>793</v>
      </c>
      <c r="C79" s="504">
        <f>C80+C81</f>
        <v>4347472.57</v>
      </c>
      <c r="D79" s="504">
        <f>D80+D81</f>
        <v>16823.61</v>
      </c>
      <c r="E79" s="504">
        <f>E80+E81</f>
        <v>4714458.08</v>
      </c>
      <c r="F79" s="504">
        <f>F80+F81</f>
        <v>163900.6</v>
      </c>
      <c r="G79" s="61">
        <f t="shared" si="3"/>
        <v>366985.50999999978</v>
      </c>
      <c r="H79" s="136">
        <f t="shared" si="3"/>
        <v>147076.99</v>
      </c>
    </row>
    <row r="80" spans="1:9" ht="16.5" customHeight="1" x14ac:dyDescent="0.25">
      <c r="A80" s="33">
        <f t="shared" si="2"/>
        <v>75</v>
      </c>
      <c r="B80" s="314" t="s">
        <v>670</v>
      </c>
      <c r="C80" s="516">
        <v>13997.68</v>
      </c>
      <c r="D80" s="516">
        <v>0</v>
      </c>
      <c r="E80" s="516">
        <v>149845.91</v>
      </c>
      <c r="F80" s="516">
        <v>0</v>
      </c>
      <c r="G80" s="144">
        <f t="shared" si="3"/>
        <v>135848.23000000001</v>
      </c>
      <c r="H80" s="145">
        <f t="shared" si="3"/>
        <v>0</v>
      </c>
      <c r="I80" s="417"/>
    </row>
    <row r="81" spans="1:13" x14ac:dyDescent="0.25">
      <c r="A81" s="33">
        <f t="shared" si="2"/>
        <v>76</v>
      </c>
      <c r="B81" s="314" t="s">
        <v>4</v>
      </c>
      <c r="C81" s="504">
        <f>SUM(C82:C89)</f>
        <v>4333474.8900000006</v>
      </c>
      <c r="D81" s="504">
        <f>SUM(D82:D89)</f>
        <v>16823.61</v>
      </c>
      <c r="E81" s="504">
        <f>SUM(E82:E89)</f>
        <v>4564612.17</v>
      </c>
      <c r="F81" s="504">
        <f>SUM(F82:F89)</f>
        <v>163900.6</v>
      </c>
      <c r="G81" s="61">
        <f t="shared" si="3"/>
        <v>231137.27999999933</v>
      </c>
      <c r="H81" s="136">
        <f t="shared" si="3"/>
        <v>147076.99</v>
      </c>
    </row>
    <row r="82" spans="1:13" ht="16.5" customHeight="1" x14ac:dyDescent="0.25">
      <c r="A82" s="33">
        <f t="shared" si="2"/>
        <v>77</v>
      </c>
      <c r="B82" s="312" t="s">
        <v>590</v>
      </c>
      <c r="C82" s="514">
        <v>2236573.71</v>
      </c>
      <c r="D82" s="514" t="s">
        <v>857</v>
      </c>
      <c r="E82" s="514">
        <f>2262653.31+500</f>
        <v>2263153.31</v>
      </c>
      <c r="F82" s="514">
        <v>0</v>
      </c>
      <c r="G82" s="144">
        <f t="shared" si="3"/>
        <v>26579.600000000093</v>
      </c>
      <c r="H82" s="145">
        <f t="shared" si="3"/>
        <v>0</v>
      </c>
    </row>
    <row r="83" spans="1:13" x14ac:dyDescent="0.25">
      <c r="A83" s="33">
        <f t="shared" si="2"/>
        <v>78</v>
      </c>
      <c r="B83" s="312" t="s">
        <v>83</v>
      </c>
      <c r="C83" s="514">
        <v>4447.6000000000013</v>
      </c>
      <c r="D83" s="514">
        <v>286.77999999999997</v>
      </c>
      <c r="E83" s="514">
        <v>3850.53</v>
      </c>
      <c r="F83" s="514">
        <v>354.15</v>
      </c>
      <c r="G83" s="144">
        <f t="shared" si="3"/>
        <v>-597.07000000000107</v>
      </c>
      <c r="H83" s="145">
        <f t="shared" si="3"/>
        <v>67.37</v>
      </c>
    </row>
    <row r="84" spans="1:13" x14ac:dyDescent="0.25">
      <c r="A84" s="33">
        <f t="shared" si="2"/>
        <v>79</v>
      </c>
      <c r="B84" s="312" t="s">
        <v>84</v>
      </c>
      <c r="C84" s="514" t="s">
        <v>857</v>
      </c>
      <c r="D84" s="514" t="s">
        <v>857</v>
      </c>
      <c r="E84" s="514">
        <v>0</v>
      </c>
      <c r="F84" s="514">
        <v>0</v>
      </c>
      <c r="G84" s="144">
        <f t="shared" si="3"/>
        <v>0</v>
      </c>
      <c r="H84" s="145">
        <f t="shared" si="3"/>
        <v>0</v>
      </c>
    </row>
    <row r="85" spans="1:13" ht="31.5" x14ac:dyDescent="0.25">
      <c r="A85" s="33">
        <f t="shared" si="2"/>
        <v>80</v>
      </c>
      <c r="B85" s="312" t="s">
        <v>631</v>
      </c>
      <c r="C85" s="514">
        <v>49736.67</v>
      </c>
      <c r="D85" s="514">
        <v>35.61</v>
      </c>
      <c r="E85" s="514">
        <f>56403.17-500</f>
        <v>55903.17</v>
      </c>
      <c r="F85" s="514">
        <v>36.479999999999997</v>
      </c>
      <c r="G85" s="144">
        <f t="shared" si="3"/>
        <v>6166.5</v>
      </c>
      <c r="H85" s="145">
        <f t="shared" si="3"/>
        <v>0.86999999999999744</v>
      </c>
      <c r="I85" s="374"/>
      <c r="J85" s="373"/>
      <c r="K85" s="373"/>
      <c r="L85" s="373"/>
      <c r="M85" s="373"/>
    </row>
    <row r="86" spans="1:13" x14ac:dyDescent="0.25">
      <c r="A86" s="33">
        <f t="shared" si="2"/>
        <v>81</v>
      </c>
      <c r="B86" s="312" t="s">
        <v>676</v>
      </c>
      <c r="C86" s="514">
        <v>48274.22</v>
      </c>
      <c r="D86" s="514" t="s">
        <v>857</v>
      </c>
      <c r="E86" s="514">
        <v>41957.84</v>
      </c>
      <c r="F86" s="514">
        <v>0</v>
      </c>
      <c r="G86" s="144">
        <f t="shared" si="3"/>
        <v>-6316.3800000000047</v>
      </c>
      <c r="H86" s="145">
        <f t="shared" si="3"/>
        <v>0</v>
      </c>
      <c r="I86" s="212"/>
      <c r="J86" s="212"/>
    </row>
    <row r="87" spans="1:13" x14ac:dyDescent="0.25">
      <c r="A87" s="33" t="s">
        <v>674</v>
      </c>
      <c r="B87" s="312" t="s">
        <v>673</v>
      </c>
      <c r="C87" s="514" t="s">
        <v>857</v>
      </c>
      <c r="D87" s="514" t="s">
        <v>857</v>
      </c>
      <c r="E87" s="514">
        <v>0</v>
      </c>
      <c r="F87" s="514">
        <v>0</v>
      </c>
      <c r="G87" s="144">
        <f t="shared" ref="G87" si="4">E87-C87</f>
        <v>0</v>
      </c>
      <c r="H87" s="145">
        <f t="shared" ref="H87" si="5">F87-D87</f>
        <v>0</v>
      </c>
      <c r="I87" s="212"/>
      <c r="J87" s="212"/>
    </row>
    <row r="88" spans="1:13" x14ac:dyDescent="0.25">
      <c r="A88" s="33">
        <f>A86+1</f>
        <v>82</v>
      </c>
      <c r="B88" s="312" t="s">
        <v>678</v>
      </c>
      <c r="C88" s="514">
        <v>2200</v>
      </c>
      <c r="D88" s="514" t="s">
        <v>857</v>
      </c>
      <c r="E88" s="514">
        <v>2790</v>
      </c>
      <c r="F88" s="514">
        <v>0</v>
      </c>
      <c r="G88" s="144">
        <f t="shared" si="3"/>
        <v>590</v>
      </c>
      <c r="H88" s="145">
        <f t="shared" si="3"/>
        <v>0</v>
      </c>
      <c r="I88" s="212"/>
    </row>
    <row r="89" spans="1:13" x14ac:dyDescent="0.25">
      <c r="A89" s="33">
        <f t="shared" si="2"/>
        <v>83</v>
      </c>
      <c r="B89" s="312" t="s">
        <v>677</v>
      </c>
      <c r="C89" s="514">
        <v>1992242.69</v>
      </c>
      <c r="D89" s="514">
        <v>16501.22</v>
      </c>
      <c r="E89" s="514">
        <v>2196957.3199999998</v>
      </c>
      <c r="F89" s="514">
        <v>163509.97</v>
      </c>
      <c r="G89" s="144">
        <f t="shared" si="3"/>
        <v>204714.62999999989</v>
      </c>
      <c r="H89" s="145">
        <f t="shared" si="3"/>
        <v>147008.75</v>
      </c>
      <c r="I89" s="212"/>
    </row>
    <row r="90" spans="1:13" ht="31.5" x14ac:dyDescent="0.25">
      <c r="A90" s="33">
        <f t="shared" si="2"/>
        <v>84</v>
      </c>
      <c r="B90" s="314" t="s">
        <v>794</v>
      </c>
      <c r="C90" s="504">
        <f>SUM(C91:C99)</f>
        <v>7497199.5199999996</v>
      </c>
      <c r="D90" s="504">
        <f>SUM(D91:D99)</f>
        <v>74136.34</v>
      </c>
      <c r="E90" s="504">
        <f>SUM(E91:E99)</f>
        <v>6664570.9399999995</v>
      </c>
      <c r="F90" s="504">
        <f>SUM(F91:F99)</f>
        <v>77992.759999999995</v>
      </c>
      <c r="G90" s="61">
        <f t="shared" si="3"/>
        <v>-832628.58000000007</v>
      </c>
      <c r="H90" s="136">
        <f t="shared" si="3"/>
        <v>3856.4199999999983</v>
      </c>
      <c r="I90" s="212"/>
    </row>
    <row r="91" spans="1:13" ht="31.5" customHeight="1" x14ac:dyDescent="0.25">
      <c r="A91" s="33">
        <f t="shared" si="2"/>
        <v>85</v>
      </c>
      <c r="B91" s="312" t="s">
        <v>624</v>
      </c>
      <c r="C91" s="514">
        <v>1270938.75</v>
      </c>
      <c r="D91" s="514" t="s">
        <v>857</v>
      </c>
      <c r="E91" s="514">
        <v>429468.58</v>
      </c>
      <c r="F91" s="514">
        <v>0</v>
      </c>
      <c r="G91" s="144">
        <f t="shared" si="3"/>
        <v>-841470.16999999993</v>
      </c>
      <c r="H91" s="145">
        <f t="shared" si="3"/>
        <v>0</v>
      </c>
      <c r="I91" s="212"/>
    </row>
    <row r="92" spans="1:13" ht="84" customHeight="1" x14ac:dyDescent="0.25">
      <c r="A92" s="33">
        <f t="shared" si="2"/>
        <v>86</v>
      </c>
      <c r="B92" s="319" t="s">
        <v>694</v>
      </c>
      <c r="C92" s="514">
        <v>1333665.8999999999</v>
      </c>
      <c r="D92" s="514">
        <v>74136.34</v>
      </c>
      <c r="E92" s="514">
        <v>1465321.81</v>
      </c>
      <c r="F92" s="514">
        <v>77992.759999999995</v>
      </c>
      <c r="G92" s="144">
        <f t="shared" si="3"/>
        <v>131655.91000000015</v>
      </c>
      <c r="H92" s="145">
        <f t="shared" si="3"/>
        <v>3856.4199999999983</v>
      </c>
      <c r="I92" s="656"/>
      <c r="J92" s="656"/>
    </row>
    <row r="93" spans="1:13" ht="31.5" x14ac:dyDescent="0.25">
      <c r="A93" s="33" t="s">
        <v>558</v>
      </c>
      <c r="B93" s="319" t="s">
        <v>695</v>
      </c>
      <c r="C93" s="514">
        <v>4329172.6899999995</v>
      </c>
      <c r="D93" s="514" t="s">
        <v>857</v>
      </c>
      <c r="E93" s="514">
        <v>4343786.7</v>
      </c>
      <c r="F93" s="514">
        <v>0</v>
      </c>
      <c r="G93" s="144">
        <f>E93-C93</f>
        <v>14614.010000000708</v>
      </c>
      <c r="H93" s="145">
        <f>F93-D93</f>
        <v>0</v>
      </c>
    </row>
    <row r="94" spans="1:13" ht="15.75" customHeight="1" x14ac:dyDescent="0.25">
      <c r="A94" s="33">
        <f>A92+1</f>
        <v>87</v>
      </c>
      <c r="B94" s="312" t="s">
        <v>671</v>
      </c>
      <c r="C94" s="514">
        <v>498692.71</v>
      </c>
      <c r="D94" s="514" t="s">
        <v>857</v>
      </c>
      <c r="E94" s="514">
        <v>0</v>
      </c>
      <c r="F94" s="514">
        <v>0</v>
      </c>
      <c r="G94" s="144">
        <f t="shared" si="3"/>
        <v>-498692.71</v>
      </c>
      <c r="H94" s="145">
        <f t="shared" si="3"/>
        <v>0</v>
      </c>
    </row>
    <row r="95" spans="1:13" x14ac:dyDescent="0.25">
      <c r="A95" s="33">
        <f t="shared" si="2"/>
        <v>88</v>
      </c>
      <c r="B95" s="312" t="s">
        <v>99</v>
      </c>
      <c r="C95" s="514" t="s">
        <v>857</v>
      </c>
      <c r="D95" s="514" t="s">
        <v>857</v>
      </c>
      <c r="E95" s="514">
        <v>0</v>
      </c>
      <c r="F95" s="514">
        <v>0</v>
      </c>
      <c r="G95" s="144">
        <f t="shared" si="3"/>
        <v>0</v>
      </c>
      <c r="H95" s="145">
        <f t="shared" si="3"/>
        <v>0</v>
      </c>
    </row>
    <row r="96" spans="1:13" x14ac:dyDescent="0.25">
      <c r="A96" s="33">
        <f t="shared" si="2"/>
        <v>89</v>
      </c>
      <c r="B96" s="312" t="s">
        <v>100</v>
      </c>
      <c r="C96" s="514">
        <v>64729.47</v>
      </c>
      <c r="D96" s="514" t="s">
        <v>857</v>
      </c>
      <c r="E96" s="514">
        <v>48953.37</v>
      </c>
      <c r="F96" s="514">
        <v>0</v>
      </c>
      <c r="G96" s="144">
        <f t="shared" si="3"/>
        <v>-15776.099999999999</v>
      </c>
      <c r="H96" s="145">
        <f t="shared" si="3"/>
        <v>0</v>
      </c>
    </row>
    <row r="97" spans="1:9" ht="31.5" x14ac:dyDescent="0.25">
      <c r="A97" s="33">
        <f t="shared" si="2"/>
        <v>90</v>
      </c>
      <c r="B97" s="375" t="s">
        <v>675</v>
      </c>
      <c r="C97" s="514" t="s">
        <v>857</v>
      </c>
      <c r="D97" s="514" t="s">
        <v>857</v>
      </c>
      <c r="E97" s="514">
        <v>377040.48</v>
      </c>
      <c r="F97" s="514">
        <v>0</v>
      </c>
      <c r="G97" s="144">
        <f t="shared" si="3"/>
        <v>377040.48</v>
      </c>
      <c r="H97" s="145">
        <f t="shared" si="3"/>
        <v>0</v>
      </c>
      <c r="I97" s="372"/>
    </row>
    <row r="98" spans="1:9" ht="32.25" customHeight="1" x14ac:dyDescent="0.25">
      <c r="A98" s="33">
        <f t="shared" si="2"/>
        <v>91</v>
      </c>
      <c r="B98" s="317" t="s">
        <v>638</v>
      </c>
      <c r="C98" s="514" t="s">
        <v>857</v>
      </c>
      <c r="D98" s="514" t="s">
        <v>857</v>
      </c>
      <c r="E98" s="514">
        <v>0</v>
      </c>
      <c r="F98" s="514">
        <v>0</v>
      </c>
      <c r="G98" s="144">
        <f t="shared" ref="G98" si="6">E98-C98</f>
        <v>0</v>
      </c>
      <c r="H98" s="145">
        <f t="shared" ref="H98" si="7">F98-D98</f>
        <v>0</v>
      </c>
    </row>
    <row r="99" spans="1:9" ht="16.5" customHeight="1" x14ac:dyDescent="0.25">
      <c r="A99" s="33">
        <f>A98+1</f>
        <v>92</v>
      </c>
      <c r="B99" s="312" t="s">
        <v>636</v>
      </c>
      <c r="C99" s="514" t="s">
        <v>857</v>
      </c>
      <c r="D99" s="514" t="s">
        <v>857</v>
      </c>
      <c r="E99" s="514">
        <v>0</v>
      </c>
      <c r="F99" s="514">
        <v>0</v>
      </c>
      <c r="G99" s="144">
        <f t="shared" si="3"/>
        <v>0</v>
      </c>
      <c r="H99" s="145">
        <f t="shared" si="3"/>
        <v>0</v>
      </c>
    </row>
    <row r="100" spans="1:9" ht="16.5" customHeight="1" x14ac:dyDescent="0.25">
      <c r="A100" s="33">
        <f t="shared" si="2"/>
        <v>93</v>
      </c>
      <c r="B100" s="314" t="s">
        <v>703</v>
      </c>
      <c r="C100" s="514">
        <v>259857.47</v>
      </c>
      <c r="D100" s="514" t="s">
        <v>857</v>
      </c>
      <c r="E100" s="514">
        <v>400965.77</v>
      </c>
      <c r="F100" s="514">
        <v>0</v>
      </c>
      <c r="G100" s="144">
        <f t="shared" si="3"/>
        <v>141108.30000000002</v>
      </c>
      <c r="H100" s="145">
        <f t="shared" si="3"/>
        <v>0</v>
      </c>
    </row>
    <row r="101" spans="1:9" x14ac:dyDescent="0.25">
      <c r="A101" s="33">
        <f>A100+1</f>
        <v>94</v>
      </c>
      <c r="B101" s="314" t="s">
        <v>704</v>
      </c>
      <c r="C101" s="514">
        <v>49184.160000000003</v>
      </c>
      <c r="D101" s="514">
        <v>36538.379999999997</v>
      </c>
      <c r="E101" s="514">
        <v>13.92</v>
      </c>
      <c r="F101" s="514">
        <v>19654.240000000002</v>
      </c>
      <c r="G101" s="144">
        <f t="shared" si="3"/>
        <v>-49170.240000000005</v>
      </c>
      <c r="H101" s="145">
        <f t="shared" si="3"/>
        <v>-16884.139999999996</v>
      </c>
    </row>
    <row r="102" spans="1:9" ht="34.5" customHeight="1" thickBot="1" x14ac:dyDescent="0.3">
      <c r="A102" s="34">
        <f t="shared" si="2"/>
        <v>95</v>
      </c>
      <c r="B102" s="451" t="s">
        <v>805</v>
      </c>
      <c r="C102" s="383">
        <f>C6+C19+C27+C32+C40+C43+C44+C60+C66+C67+C68+C75+C76+C77+C78+C79+C90+C100+C101</f>
        <v>57017927.480000004</v>
      </c>
      <c r="D102" s="383">
        <f t="shared" ref="D102:F102" si="8">D6+D19+D27+D32+D40+D43+D44+D60+D66+D67+D68+D75+D76+D77+D78+D79+D90+D100+D101</f>
        <v>1418917.86</v>
      </c>
      <c r="E102" s="383">
        <f t="shared" si="8"/>
        <v>61194163.289999999</v>
      </c>
      <c r="F102" s="383">
        <f t="shared" si="8"/>
        <v>1494225.7500000002</v>
      </c>
      <c r="G102" s="62">
        <f>E102-C102</f>
        <v>4176235.8099999949</v>
      </c>
      <c r="H102" s="139">
        <f>F102-D102</f>
        <v>75307.89000000013</v>
      </c>
      <c r="I102" s="397"/>
    </row>
    <row r="103" spans="1:9" x14ac:dyDescent="0.25">
      <c r="A103" s="4"/>
      <c r="B103" s="452"/>
      <c r="C103" s="513"/>
      <c r="D103" s="605"/>
      <c r="E103" s="605"/>
      <c r="F103" s="605"/>
      <c r="G103" s="44"/>
      <c r="H103" s="44"/>
      <c r="I103" s="44"/>
    </row>
    <row r="104" spans="1:9" x14ac:dyDescent="0.25">
      <c r="B104" s="452"/>
      <c r="C104" s="513"/>
      <c r="D104" s="513"/>
      <c r="E104" s="513"/>
      <c r="F104" s="513"/>
      <c r="I104" s="371"/>
    </row>
    <row r="105" spans="1:9" ht="31.5" x14ac:dyDescent="0.25">
      <c r="A105" s="313" t="s">
        <v>625</v>
      </c>
      <c r="B105" s="453" t="s">
        <v>705</v>
      </c>
      <c r="C105" s="513"/>
      <c r="D105" s="513"/>
      <c r="E105" s="513"/>
      <c r="F105" s="513"/>
    </row>
    <row r="106" spans="1:9" x14ac:dyDescent="0.25">
      <c r="C106" s="513"/>
      <c r="D106" s="513"/>
      <c r="E106" s="513"/>
      <c r="F106" s="513"/>
    </row>
    <row r="107" spans="1:9" x14ac:dyDescent="0.25">
      <c r="C107" s="513"/>
      <c r="D107" s="513"/>
      <c r="E107" s="513"/>
      <c r="F107" s="513"/>
    </row>
    <row r="973" spans="6:6" x14ac:dyDescent="0.25">
      <c r="F973" s="1" t="s">
        <v>257</v>
      </c>
    </row>
    <row r="992" spans="4:4" x14ac:dyDescent="0.25">
      <c r="D992" s="1" t="s">
        <v>256</v>
      </c>
    </row>
  </sheetData>
  <mergeCells count="9">
    <mergeCell ref="I92:J92"/>
    <mergeCell ref="J58:L58"/>
    <mergeCell ref="A1:H1"/>
    <mergeCell ref="A2:H2"/>
    <mergeCell ref="A3:A4"/>
    <mergeCell ref="B3:B4"/>
    <mergeCell ref="C3:D3"/>
    <mergeCell ref="E3:F3"/>
    <mergeCell ref="G3:H3"/>
  </mergeCells>
  <printOptions gridLines="1"/>
  <pageMargins left="0.74803149606299213" right="0.63" top="0.64" bottom="0.39370078740157483" header="0.39370078740157483" footer="0.23622047244094491"/>
  <pageSetup paperSize="9" scale="61" fitToWidth="3" fitToHeight="3" orientation="landscape" r:id="rId1"/>
  <headerFooter alignWithMargins="0">
    <oddFooter xml:space="preserve">&amp;C &amp;P z &amp;N  </oddFooter>
  </headerFooter>
  <rowBreaks count="2" manualBreakCount="2">
    <brk id="39" max="7" man="1"/>
    <brk id="7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indexed="42"/>
    <pageSetUpPr fitToPage="1"/>
  </sheetPr>
  <dimension ref="A1:O37"/>
  <sheetViews>
    <sheetView zoomScaleNormal="100" workbookViewId="0">
      <pane xSplit="2" ySplit="6" topLeftCell="D10" activePane="bottomRight" state="frozen"/>
      <selection pane="topRight" activeCell="C1" sqref="C1"/>
      <selection pane="bottomLeft" activeCell="A7" sqref="A7"/>
      <selection pane="bottomRight" activeCell="I26" sqref="I26"/>
    </sheetView>
  </sheetViews>
  <sheetFormatPr defaultRowHeight="15.75" x14ac:dyDescent="0.2"/>
  <cols>
    <col min="1" max="1" width="5.5703125" style="24" customWidth="1"/>
    <col min="2" max="2" width="65.42578125" style="49" customWidth="1"/>
    <col min="3" max="3" width="14.7109375" style="19" customWidth="1"/>
    <col min="4" max="4" width="14" style="19" customWidth="1"/>
    <col min="5" max="5" width="15.85546875" style="19" customWidth="1"/>
    <col min="6" max="6" width="15.7109375" style="19" customWidth="1"/>
    <col min="7" max="7" width="19.140625" style="19" customWidth="1"/>
    <col min="8" max="8" width="18.7109375" style="19" customWidth="1"/>
    <col min="9" max="9" width="16.28515625" style="19" customWidth="1"/>
    <col min="10" max="10" width="17.7109375" style="19" bestFit="1" customWidth="1"/>
    <col min="11" max="11" width="13.28515625" style="19" customWidth="1"/>
    <col min="12" max="13" width="9.85546875" style="19" customWidth="1"/>
    <col min="14" max="14" width="9.140625" style="19" customWidth="1"/>
    <col min="15" max="15" width="36.5703125" style="19" customWidth="1"/>
    <col min="16" max="16384" width="9.140625" style="19"/>
  </cols>
  <sheetData>
    <row r="1" spans="1:15" ht="35.1" customHeight="1" thickBot="1" x14ac:dyDescent="0.25">
      <c r="A1" s="671" t="s">
        <v>755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</row>
    <row r="2" spans="1:15" ht="35.450000000000003" customHeight="1" thickBot="1" x14ac:dyDescent="0.25">
      <c r="A2" s="629" t="s">
        <v>876</v>
      </c>
      <c r="B2" s="630"/>
      <c r="C2" s="630"/>
      <c r="D2" s="630"/>
      <c r="E2" s="630"/>
      <c r="F2" s="630"/>
      <c r="G2" s="630"/>
      <c r="H2" s="630"/>
      <c r="I2" s="630"/>
      <c r="J2" s="630"/>
      <c r="K2" s="631"/>
      <c r="L2" s="624"/>
      <c r="M2" s="624"/>
      <c r="N2" s="625"/>
    </row>
    <row r="3" spans="1:15" ht="42.75" customHeight="1" x14ac:dyDescent="0.2">
      <c r="A3" s="688" t="s">
        <v>133</v>
      </c>
      <c r="B3" s="652" t="s">
        <v>143</v>
      </c>
      <c r="C3" s="677" t="s">
        <v>756</v>
      </c>
      <c r="D3" s="677"/>
      <c r="E3" s="677"/>
      <c r="F3" s="677"/>
      <c r="G3" s="677" t="s">
        <v>576</v>
      </c>
      <c r="H3" s="678" t="s">
        <v>194</v>
      </c>
      <c r="I3" s="677" t="s">
        <v>578</v>
      </c>
      <c r="J3" s="673" t="s">
        <v>579</v>
      </c>
      <c r="K3" s="680" t="s">
        <v>632</v>
      </c>
      <c r="L3" s="662" t="s">
        <v>728</v>
      </c>
      <c r="M3" s="665" t="s">
        <v>792</v>
      </c>
      <c r="N3" s="668" t="s">
        <v>729</v>
      </c>
      <c r="O3" s="447"/>
    </row>
    <row r="4" spans="1:15" ht="34.5" customHeight="1" x14ac:dyDescent="0.2">
      <c r="A4" s="689"/>
      <c r="B4" s="687"/>
      <c r="C4" s="683" t="s">
        <v>141</v>
      </c>
      <c r="D4" s="501" t="s">
        <v>194</v>
      </c>
      <c r="E4" s="683" t="s">
        <v>142</v>
      </c>
      <c r="F4" s="683" t="s">
        <v>117</v>
      </c>
      <c r="G4" s="683"/>
      <c r="H4" s="679"/>
      <c r="I4" s="683"/>
      <c r="J4" s="674"/>
      <c r="K4" s="680"/>
      <c r="L4" s="663"/>
      <c r="M4" s="666"/>
      <c r="N4" s="669"/>
      <c r="O4" s="447"/>
    </row>
    <row r="5" spans="1:15" s="75" customFormat="1" ht="63.75" thickBot="1" x14ac:dyDescent="0.25">
      <c r="A5" s="689"/>
      <c r="B5" s="687"/>
      <c r="C5" s="683"/>
      <c r="D5" s="501" t="s">
        <v>555</v>
      </c>
      <c r="E5" s="683"/>
      <c r="F5" s="683"/>
      <c r="G5" s="683"/>
      <c r="H5" s="501" t="s">
        <v>577</v>
      </c>
      <c r="I5" s="683"/>
      <c r="J5" s="674"/>
      <c r="K5" s="681"/>
      <c r="L5" s="664"/>
      <c r="M5" s="667"/>
      <c r="N5" s="670"/>
      <c r="O5" s="449"/>
    </row>
    <row r="6" spans="1:15" s="76" customFormat="1" ht="18" customHeight="1" thickBot="1" x14ac:dyDescent="0.25">
      <c r="A6" s="133"/>
      <c r="B6" s="64"/>
      <c r="C6" s="503" t="s">
        <v>180</v>
      </c>
      <c r="D6" s="503" t="s">
        <v>181</v>
      </c>
      <c r="E6" s="503" t="s">
        <v>182</v>
      </c>
      <c r="F6" s="503" t="s">
        <v>118</v>
      </c>
      <c r="G6" s="503" t="s">
        <v>183</v>
      </c>
      <c r="H6" s="503" t="s">
        <v>184</v>
      </c>
      <c r="I6" s="503" t="s">
        <v>185</v>
      </c>
      <c r="J6" s="502" t="s">
        <v>119</v>
      </c>
      <c r="K6" s="361" t="s">
        <v>633</v>
      </c>
      <c r="N6" s="518"/>
    </row>
    <row r="7" spans="1:15" s="22" customFormat="1" x14ac:dyDescent="0.2">
      <c r="A7" s="573">
        <v>1</v>
      </c>
      <c r="B7" s="523" t="s">
        <v>177</v>
      </c>
      <c r="C7" s="504">
        <f>SUM(C8:C12)</f>
        <v>592.6389999999999</v>
      </c>
      <c r="D7" s="504">
        <f>SUM(D8:D12)</f>
        <v>584.36900000000003</v>
      </c>
      <c r="E7" s="504">
        <f>SUM(E8:E12)</f>
        <v>76.634</v>
      </c>
      <c r="F7" s="504">
        <f t="shared" ref="F7:F13" si="0">C7+E7</f>
        <v>669.27299999999991</v>
      </c>
      <c r="G7" s="504">
        <f>SUM(G8:G12)</f>
        <v>10889143.219999999</v>
      </c>
      <c r="H7" s="504">
        <f>SUM(H8:H12)</f>
        <v>10542832.439999999</v>
      </c>
      <c r="I7" s="504">
        <f>SUM(I8:I12)</f>
        <v>4646322.6500000004</v>
      </c>
      <c r="J7" s="524">
        <f t="shared" ref="J7:J13" si="1">G7+I7</f>
        <v>15535465.869999999</v>
      </c>
      <c r="K7" s="525">
        <f>IF(F7=0,0,J7/F7/12)</f>
        <v>1934.3708110641448</v>
      </c>
      <c r="L7" s="526">
        <v>1233.18</v>
      </c>
      <c r="M7" s="527">
        <v>1614.87</v>
      </c>
      <c r="N7" s="528">
        <v>2322.7399999999998</v>
      </c>
    </row>
    <row r="8" spans="1:15" x14ac:dyDescent="0.2">
      <c r="A8" s="573">
        <v>2</v>
      </c>
      <c r="B8" s="529" t="s">
        <v>634</v>
      </c>
      <c r="C8" s="530">
        <v>80.997</v>
      </c>
      <c r="D8" s="530">
        <v>79.388999999999996</v>
      </c>
      <c r="E8" s="530">
        <v>21.712</v>
      </c>
      <c r="F8" s="504">
        <f t="shared" si="0"/>
        <v>102.709</v>
      </c>
      <c r="G8" s="530">
        <v>2427727.0499999998</v>
      </c>
      <c r="H8" s="530">
        <v>2336621.35</v>
      </c>
      <c r="I8" s="530">
        <v>1277496.49</v>
      </c>
      <c r="J8" s="524">
        <f t="shared" si="1"/>
        <v>3705223.54</v>
      </c>
      <c r="K8" s="525">
        <f t="shared" ref="K8:K30" si="2">IF(F8=0,0,J8/F8/12)</f>
        <v>3006.2470507290823</v>
      </c>
      <c r="L8" s="531">
        <v>2182.9299999999998</v>
      </c>
      <c r="M8" s="532">
        <v>2807.54</v>
      </c>
      <c r="N8" s="533">
        <v>3570.02</v>
      </c>
    </row>
    <row r="9" spans="1:15" x14ac:dyDescent="0.2">
      <c r="A9" s="573">
        <v>3</v>
      </c>
      <c r="B9" s="529" t="s">
        <v>144</v>
      </c>
      <c r="C9" s="530">
        <v>133.96899999999999</v>
      </c>
      <c r="D9" s="530">
        <v>132.041</v>
      </c>
      <c r="E9" s="530">
        <v>15.874000000000001</v>
      </c>
      <c r="F9" s="504">
        <f t="shared" si="0"/>
        <v>149.84299999999999</v>
      </c>
      <c r="G9" s="530">
        <v>2980039.81</v>
      </c>
      <c r="H9" s="530">
        <v>2875783.1</v>
      </c>
      <c r="I9" s="530">
        <v>894468.91</v>
      </c>
      <c r="J9" s="524">
        <f t="shared" si="1"/>
        <v>3874508.72</v>
      </c>
      <c r="K9" s="525">
        <f t="shared" si="2"/>
        <v>2154.7601600786606</v>
      </c>
      <c r="L9" s="531">
        <v>1461.18</v>
      </c>
      <c r="M9" s="532">
        <v>1952.8</v>
      </c>
      <c r="N9" s="533">
        <v>2607.1799999999998</v>
      </c>
    </row>
    <row r="10" spans="1:15" x14ac:dyDescent="0.2">
      <c r="A10" s="573">
        <v>4</v>
      </c>
      <c r="B10" s="529" t="s">
        <v>145</v>
      </c>
      <c r="C10" s="530">
        <v>303.51799999999997</v>
      </c>
      <c r="D10" s="530">
        <v>299.35000000000002</v>
      </c>
      <c r="E10" s="530">
        <v>29.786000000000001</v>
      </c>
      <c r="F10" s="504">
        <f t="shared" si="0"/>
        <v>333.30399999999997</v>
      </c>
      <c r="G10" s="530">
        <v>4667090.38</v>
      </c>
      <c r="H10" s="530">
        <v>4528173.2</v>
      </c>
      <c r="I10" s="530">
        <v>1922478.68</v>
      </c>
      <c r="J10" s="524">
        <f t="shared" si="1"/>
        <v>6589569.0599999996</v>
      </c>
      <c r="K10" s="525">
        <f t="shared" si="2"/>
        <v>1647.5372482778484</v>
      </c>
      <c r="L10" s="531">
        <v>1164.93</v>
      </c>
      <c r="M10" s="532">
        <v>1498.02</v>
      </c>
      <c r="N10" s="533">
        <v>2065.9299999999998</v>
      </c>
    </row>
    <row r="11" spans="1:15" x14ac:dyDescent="0.2">
      <c r="A11" s="573">
        <v>5</v>
      </c>
      <c r="B11" s="529" t="s">
        <v>146</v>
      </c>
      <c r="C11" s="530">
        <v>63.567999999999998</v>
      </c>
      <c r="D11" s="530">
        <v>63.069000000000003</v>
      </c>
      <c r="E11" s="530">
        <v>3.157</v>
      </c>
      <c r="F11" s="504">
        <f t="shared" si="0"/>
        <v>66.724999999999994</v>
      </c>
      <c r="G11" s="530">
        <v>676517.51</v>
      </c>
      <c r="H11" s="530">
        <v>666733.28</v>
      </c>
      <c r="I11" s="530">
        <v>474415.54</v>
      </c>
      <c r="J11" s="524">
        <f t="shared" si="1"/>
        <v>1150933.05</v>
      </c>
      <c r="K11" s="525">
        <f t="shared" si="2"/>
        <v>1437.4085799925067</v>
      </c>
      <c r="L11" s="531">
        <v>1037.99</v>
      </c>
      <c r="M11" s="532">
        <v>1279</v>
      </c>
      <c r="N11" s="533">
        <v>1582.96</v>
      </c>
    </row>
    <row r="12" spans="1:15" x14ac:dyDescent="0.2">
      <c r="A12" s="573">
        <v>6</v>
      </c>
      <c r="B12" s="529" t="s">
        <v>147</v>
      </c>
      <c r="C12" s="530">
        <v>10.587</v>
      </c>
      <c r="D12" s="530">
        <v>10.52</v>
      </c>
      <c r="E12" s="530">
        <v>6.1050000000000004</v>
      </c>
      <c r="F12" s="504">
        <f t="shared" si="0"/>
        <v>16.692</v>
      </c>
      <c r="G12" s="530">
        <v>137768.47</v>
      </c>
      <c r="H12" s="530">
        <v>135521.51</v>
      </c>
      <c r="I12" s="530">
        <v>77463.03</v>
      </c>
      <c r="J12" s="524">
        <f t="shared" si="1"/>
        <v>215231.5</v>
      </c>
      <c r="K12" s="525">
        <f t="shared" si="2"/>
        <v>1074.5242231807654</v>
      </c>
      <c r="L12" s="531">
        <v>953.68</v>
      </c>
      <c r="M12" s="532">
        <v>1001.51</v>
      </c>
      <c r="N12" s="533">
        <v>1200.07</v>
      </c>
    </row>
    <row r="13" spans="1:15" x14ac:dyDescent="0.2">
      <c r="A13" s="573">
        <v>7</v>
      </c>
      <c r="B13" s="523" t="s">
        <v>28</v>
      </c>
      <c r="C13" s="530">
        <v>192.94800000000001</v>
      </c>
      <c r="D13" s="530">
        <v>172.03200000000001</v>
      </c>
      <c r="E13" s="530">
        <v>17.052</v>
      </c>
      <c r="F13" s="504">
        <f t="shared" si="0"/>
        <v>210</v>
      </c>
      <c r="G13" s="530">
        <v>2305851.09</v>
      </c>
      <c r="H13" s="530">
        <v>1943175.135</v>
      </c>
      <c r="I13" s="530">
        <v>374669.82</v>
      </c>
      <c r="J13" s="524">
        <f t="shared" si="1"/>
        <v>2680520.9099999997</v>
      </c>
      <c r="K13" s="525">
        <f t="shared" si="2"/>
        <v>1063.6987738095238</v>
      </c>
      <c r="L13" s="531">
        <v>764.3</v>
      </c>
      <c r="M13" s="532">
        <v>980.41</v>
      </c>
      <c r="N13" s="533">
        <v>1347.36</v>
      </c>
    </row>
    <row r="14" spans="1:15" x14ac:dyDescent="0.2">
      <c r="A14" s="573"/>
      <c r="B14" s="529" t="s">
        <v>194</v>
      </c>
      <c r="C14" s="534"/>
      <c r="D14" s="534"/>
      <c r="E14" s="534"/>
      <c r="F14" s="535"/>
      <c r="G14" s="534"/>
      <c r="H14" s="534"/>
      <c r="I14" s="534"/>
      <c r="J14" s="536"/>
      <c r="K14" s="525"/>
      <c r="L14" s="531"/>
      <c r="M14" s="532"/>
      <c r="N14" s="533"/>
    </row>
    <row r="15" spans="1:15" x14ac:dyDescent="0.2">
      <c r="A15" s="573">
        <v>8</v>
      </c>
      <c r="B15" s="529" t="s">
        <v>32</v>
      </c>
      <c r="C15" s="530">
        <v>46.734000000000002</v>
      </c>
      <c r="D15" s="530">
        <v>45.88</v>
      </c>
      <c r="E15" s="530">
        <v>4.9359999999999999</v>
      </c>
      <c r="F15" s="504">
        <f t="shared" ref="F15:F21" si="3">C15+E15</f>
        <v>51.67</v>
      </c>
      <c r="G15" s="530">
        <v>701228.29</v>
      </c>
      <c r="H15" s="530">
        <v>683915.87</v>
      </c>
      <c r="I15" s="530">
        <v>119496.58</v>
      </c>
      <c r="J15" s="524">
        <f t="shared" ref="J15:J21" si="4">G15+I15</f>
        <v>820724.87</v>
      </c>
      <c r="K15" s="525">
        <f t="shared" si="2"/>
        <v>1323.664392619831</v>
      </c>
      <c r="L15" s="531">
        <v>1021.95</v>
      </c>
      <c r="M15" s="532">
        <v>1232.52</v>
      </c>
      <c r="N15" s="533">
        <v>1449.68</v>
      </c>
    </row>
    <row r="16" spans="1:15" x14ac:dyDescent="0.2">
      <c r="A16" s="573">
        <v>9</v>
      </c>
      <c r="B16" s="523" t="s">
        <v>178</v>
      </c>
      <c r="C16" s="504">
        <f>SUM(C17:C19)</f>
        <v>203.74</v>
      </c>
      <c r="D16" s="504">
        <f>SUM(D17:D19)</f>
        <v>199.33299999999997</v>
      </c>
      <c r="E16" s="504">
        <f>SUM(E17:E19)</f>
        <v>31.582000000000001</v>
      </c>
      <c r="F16" s="504">
        <f t="shared" si="3"/>
        <v>235.322</v>
      </c>
      <c r="G16" s="504">
        <f>SUM(G17:G19)</f>
        <v>2415002.38</v>
      </c>
      <c r="H16" s="504">
        <f>SUM(H17:H19)</f>
        <v>2341890.6</v>
      </c>
      <c r="I16" s="504">
        <f>SUM(I17:I19)</f>
        <v>611838.01</v>
      </c>
      <c r="J16" s="524">
        <f t="shared" si="4"/>
        <v>3026840.3899999997</v>
      </c>
      <c r="K16" s="525">
        <f t="shared" si="2"/>
        <v>1071.8789538023077</v>
      </c>
      <c r="L16" s="531">
        <v>773.79</v>
      </c>
      <c r="M16" s="532">
        <v>935.48</v>
      </c>
      <c r="N16" s="533">
        <v>1154.44</v>
      </c>
    </row>
    <row r="17" spans="1:15" x14ac:dyDescent="0.2">
      <c r="A17" s="573">
        <v>10</v>
      </c>
      <c r="B17" s="529" t="s">
        <v>148</v>
      </c>
      <c r="C17" s="530">
        <v>80.167000000000002</v>
      </c>
      <c r="D17" s="530">
        <v>75.760000000000005</v>
      </c>
      <c r="E17" s="530">
        <v>3.8780000000000001</v>
      </c>
      <c r="F17" s="504">
        <f t="shared" si="3"/>
        <v>84.045000000000002</v>
      </c>
      <c r="G17" s="530">
        <v>1091418.7</v>
      </c>
      <c r="H17" s="530">
        <v>1019662.07</v>
      </c>
      <c r="I17" s="530">
        <v>66077.5</v>
      </c>
      <c r="J17" s="524">
        <f t="shared" si="4"/>
        <v>1157496.2</v>
      </c>
      <c r="K17" s="525">
        <f t="shared" si="2"/>
        <v>1147.694885676324</v>
      </c>
      <c r="L17" s="531">
        <v>821.04</v>
      </c>
      <c r="M17" s="532">
        <v>952.53</v>
      </c>
      <c r="N17" s="533">
        <v>1152.52</v>
      </c>
    </row>
    <row r="18" spans="1:15" x14ac:dyDescent="0.2">
      <c r="A18" s="573">
        <v>11</v>
      </c>
      <c r="B18" s="529" t="s">
        <v>120</v>
      </c>
      <c r="C18" s="530">
        <v>71.266999999999996</v>
      </c>
      <c r="D18" s="530">
        <v>71.266999999999996</v>
      </c>
      <c r="E18" s="530">
        <v>16.523</v>
      </c>
      <c r="F18" s="504">
        <f t="shared" si="3"/>
        <v>87.789999999999992</v>
      </c>
      <c r="G18" s="530">
        <v>829053.58</v>
      </c>
      <c r="H18" s="530">
        <v>828955.13</v>
      </c>
      <c r="I18" s="537">
        <v>375149.86</v>
      </c>
      <c r="J18" s="524">
        <f t="shared" si="4"/>
        <v>1204203.44</v>
      </c>
      <c r="K18" s="525">
        <f t="shared" si="2"/>
        <v>1143.0719520066825</v>
      </c>
      <c r="L18" s="531">
        <v>796.94</v>
      </c>
      <c r="M18" s="532">
        <v>979.18</v>
      </c>
      <c r="N18" s="533">
        <v>1279.1099999999999</v>
      </c>
    </row>
    <row r="19" spans="1:15" x14ac:dyDescent="0.2">
      <c r="A19" s="573">
        <v>12</v>
      </c>
      <c r="B19" s="529" t="s">
        <v>102</v>
      </c>
      <c r="C19" s="530">
        <v>52.305999999999997</v>
      </c>
      <c r="D19" s="530">
        <v>52.305999999999997</v>
      </c>
      <c r="E19" s="530">
        <v>11.180999999999999</v>
      </c>
      <c r="F19" s="504">
        <f t="shared" si="3"/>
        <v>63.486999999999995</v>
      </c>
      <c r="G19" s="530">
        <v>494530.1</v>
      </c>
      <c r="H19" s="530">
        <v>493273.4</v>
      </c>
      <c r="I19" s="537">
        <v>170610.65</v>
      </c>
      <c r="J19" s="524">
        <f t="shared" si="4"/>
        <v>665140.75</v>
      </c>
      <c r="K19" s="525">
        <f t="shared" si="2"/>
        <v>873.0668614572013</v>
      </c>
      <c r="L19" s="531">
        <v>726.97</v>
      </c>
      <c r="M19" s="532">
        <v>863.18</v>
      </c>
      <c r="N19" s="533">
        <v>960.75</v>
      </c>
    </row>
    <row r="20" spans="1:15" x14ac:dyDescent="0.2">
      <c r="A20" s="573">
        <v>13</v>
      </c>
      <c r="B20" s="523" t="s">
        <v>175</v>
      </c>
      <c r="C20" s="530">
        <v>105.62</v>
      </c>
      <c r="D20" s="530">
        <v>96.38</v>
      </c>
      <c r="E20" s="530">
        <v>21.654</v>
      </c>
      <c r="F20" s="504">
        <f t="shared" si="3"/>
        <v>127.274</v>
      </c>
      <c r="G20" s="530">
        <v>1804182</v>
      </c>
      <c r="H20" s="530">
        <v>1650466.95</v>
      </c>
      <c r="I20" s="537">
        <v>789909.21</v>
      </c>
      <c r="J20" s="524">
        <f t="shared" si="4"/>
        <v>2594091.21</v>
      </c>
      <c r="K20" s="525">
        <f t="shared" si="2"/>
        <v>1698.495116834546</v>
      </c>
      <c r="L20" s="531">
        <v>1006.46</v>
      </c>
      <c r="M20" s="532">
        <v>1338.91</v>
      </c>
      <c r="N20" s="533">
        <v>1398.34</v>
      </c>
    </row>
    <row r="21" spans="1:15" ht="31.5" x14ac:dyDescent="0.2">
      <c r="A21" s="573">
        <v>14</v>
      </c>
      <c r="B21" s="523" t="s">
        <v>29</v>
      </c>
      <c r="C21" s="530">
        <v>131.43</v>
      </c>
      <c r="D21" s="530">
        <v>131.43</v>
      </c>
      <c r="E21" s="530">
        <v>24.344999999999999</v>
      </c>
      <c r="F21" s="504">
        <f t="shared" si="3"/>
        <v>155.77500000000001</v>
      </c>
      <c r="G21" s="530">
        <v>1005403.57</v>
      </c>
      <c r="H21" s="530">
        <v>1005403.47</v>
      </c>
      <c r="I21" s="537">
        <v>285263.96000000002</v>
      </c>
      <c r="J21" s="524">
        <f t="shared" si="4"/>
        <v>1290667.53</v>
      </c>
      <c r="K21" s="525">
        <f t="shared" si="2"/>
        <v>690.4549991975606</v>
      </c>
      <c r="L21" s="531">
        <v>497.19</v>
      </c>
      <c r="M21" s="532">
        <v>597.58000000000004</v>
      </c>
      <c r="N21" s="533">
        <v>796.52</v>
      </c>
    </row>
    <row r="22" spans="1:15" ht="47.25" x14ac:dyDescent="0.2">
      <c r="A22" s="573">
        <v>15</v>
      </c>
      <c r="B22" s="523" t="s">
        <v>209</v>
      </c>
      <c r="C22" s="504">
        <f>SUM(C23:C26)</f>
        <v>39.789000000000001</v>
      </c>
      <c r="D22" s="504">
        <f>SUM(D23:D26)</f>
        <v>39.683</v>
      </c>
      <c r="E22" s="504">
        <f>SUM(E23:E26)</f>
        <v>6.0000000000000001E-3</v>
      </c>
      <c r="F22" s="504">
        <f>SUM(F27:F27)</f>
        <v>0</v>
      </c>
      <c r="G22" s="504">
        <f>SUM(G23:G26)</f>
        <v>369329.67</v>
      </c>
      <c r="H22" s="504">
        <f>SUM(H23:H26)</f>
        <v>366049.56</v>
      </c>
      <c r="I22" s="504">
        <f>SUM(I23:I26)</f>
        <v>29377.59</v>
      </c>
      <c r="J22" s="524">
        <f>SUM(J23:J26)</f>
        <v>398707.26</v>
      </c>
      <c r="K22" s="525">
        <f t="shared" si="2"/>
        <v>0</v>
      </c>
      <c r="L22" s="522"/>
      <c r="M22" s="522"/>
      <c r="N22" s="538"/>
    </row>
    <row r="23" spans="1:15" x14ac:dyDescent="0.2">
      <c r="A23" s="522" t="s">
        <v>176</v>
      </c>
      <c r="B23" s="539" t="s">
        <v>858</v>
      </c>
      <c r="C23" s="530">
        <v>39.289000000000001</v>
      </c>
      <c r="D23" s="530">
        <v>39.183</v>
      </c>
      <c r="E23" s="530">
        <v>6.0000000000000001E-3</v>
      </c>
      <c r="F23" s="504">
        <f t="shared" ref="F23:F29" si="5">C23+E23</f>
        <v>39.295000000000002</v>
      </c>
      <c r="G23" s="530">
        <v>363607.57</v>
      </c>
      <c r="H23" s="530">
        <v>360327.46</v>
      </c>
      <c r="I23" s="530">
        <v>29377.59</v>
      </c>
      <c r="J23" s="524">
        <f>G23+I23</f>
        <v>392985.16000000003</v>
      </c>
      <c r="K23" s="525">
        <f t="shared" si="2"/>
        <v>833.40789752725107</v>
      </c>
      <c r="L23" s="522"/>
      <c r="M23" s="522"/>
      <c r="N23" s="538"/>
    </row>
    <row r="24" spans="1:15" x14ac:dyDescent="0.2">
      <c r="A24" s="522" t="s">
        <v>267</v>
      </c>
      <c r="B24" s="539" t="s">
        <v>881</v>
      </c>
      <c r="C24" s="530">
        <v>0.5</v>
      </c>
      <c r="D24" s="530">
        <v>0.5</v>
      </c>
      <c r="E24" s="530"/>
      <c r="F24" s="504">
        <f t="shared" si="5"/>
        <v>0.5</v>
      </c>
      <c r="G24" s="530">
        <v>5722.1</v>
      </c>
      <c r="H24" s="530">
        <v>5722.1</v>
      </c>
      <c r="I24" s="530"/>
      <c r="J24" s="524">
        <f>G24+I24</f>
        <v>5722.1</v>
      </c>
      <c r="K24" s="525">
        <f t="shared" si="2"/>
        <v>953.68333333333339</v>
      </c>
      <c r="L24" s="540"/>
      <c r="M24" s="540"/>
      <c r="N24" s="541"/>
    </row>
    <row r="25" spans="1:15" x14ac:dyDescent="0.2">
      <c r="A25" s="522" t="s">
        <v>268</v>
      </c>
      <c r="B25" s="539"/>
      <c r="C25" s="530"/>
      <c r="D25" s="530"/>
      <c r="E25" s="530"/>
      <c r="F25" s="504">
        <f t="shared" si="5"/>
        <v>0</v>
      </c>
      <c r="G25" s="530"/>
      <c r="H25" s="530"/>
      <c r="I25" s="530"/>
      <c r="J25" s="524">
        <f>G25+I25</f>
        <v>0</v>
      </c>
      <c r="K25" s="525">
        <f t="shared" si="2"/>
        <v>0</v>
      </c>
      <c r="L25" s="532"/>
      <c r="M25" s="532"/>
      <c r="N25" s="542"/>
    </row>
    <row r="26" spans="1:15" ht="16.5" customHeight="1" x14ac:dyDescent="0.2">
      <c r="A26" s="522" t="s">
        <v>269</v>
      </c>
      <c r="B26" s="539"/>
      <c r="C26" s="530"/>
      <c r="D26" s="530"/>
      <c r="E26" s="530"/>
      <c r="F26" s="504">
        <f t="shared" si="5"/>
        <v>0</v>
      </c>
      <c r="G26" s="530"/>
      <c r="H26" s="530"/>
      <c r="I26" s="530"/>
      <c r="J26" s="524">
        <f>G26+I26</f>
        <v>0</v>
      </c>
      <c r="K26" s="525">
        <f t="shared" si="2"/>
        <v>0</v>
      </c>
      <c r="L26" s="543"/>
      <c r="M26" s="543"/>
      <c r="N26" s="541"/>
    </row>
    <row r="27" spans="1:15" x14ac:dyDescent="0.2">
      <c r="A27" s="522"/>
      <c r="B27" s="529"/>
      <c r="C27" s="534"/>
      <c r="D27" s="534"/>
      <c r="E27" s="534"/>
      <c r="F27" s="535">
        <f t="shared" si="5"/>
        <v>0</v>
      </c>
      <c r="G27" s="534"/>
      <c r="H27" s="534"/>
      <c r="I27" s="534"/>
      <c r="J27" s="536"/>
      <c r="K27" s="525"/>
      <c r="L27" s="531"/>
      <c r="M27" s="532"/>
      <c r="N27" s="533"/>
    </row>
    <row r="28" spans="1:15" x14ac:dyDescent="0.2">
      <c r="A28" s="573">
        <v>16</v>
      </c>
      <c r="B28" s="523" t="s">
        <v>30</v>
      </c>
      <c r="C28" s="530">
        <v>41.789000000000001</v>
      </c>
      <c r="D28" s="530">
        <v>41.789000000000001</v>
      </c>
      <c r="E28" s="530">
        <v>17.62</v>
      </c>
      <c r="F28" s="504">
        <f t="shared" si="5"/>
        <v>59.409000000000006</v>
      </c>
      <c r="G28" s="530">
        <v>351701.84</v>
      </c>
      <c r="H28" s="530">
        <v>351701.84</v>
      </c>
      <c r="I28" s="530">
        <v>189503.02</v>
      </c>
      <c r="J28" s="524">
        <f>G28+I28</f>
        <v>541204.86</v>
      </c>
      <c r="K28" s="525">
        <f t="shared" si="2"/>
        <v>759.15105455402363</v>
      </c>
      <c r="L28" s="522">
        <v>573.86</v>
      </c>
      <c r="M28" s="522">
        <v>657.94</v>
      </c>
      <c r="N28" s="538">
        <v>881.46</v>
      </c>
    </row>
    <row r="29" spans="1:15" x14ac:dyDescent="0.2">
      <c r="A29" s="573">
        <v>17</v>
      </c>
      <c r="B29" s="523" t="s">
        <v>31</v>
      </c>
      <c r="C29" s="530"/>
      <c r="D29" s="530"/>
      <c r="E29" s="530">
        <v>43.468000000000004</v>
      </c>
      <c r="F29" s="504">
        <f t="shared" si="5"/>
        <v>43.468000000000004</v>
      </c>
      <c r="G29" s="530">
        <v>36050</v>
      </c>
      <c r="H29" s="530">
        <v>36050</v>
      </c>
      <c r="I29" s="530">
        <v>288072.46000000002</v>
      </c>
      <c r="J29" s="524">
        <f>G29+I29</f>
        <v>324122.46000000002</v>
      </c>
      <c r="K29" s="525">
        <f t="shared" si="2"/>
        <v>621.3813610011963</v>
      </c>
      <c r="L29" s="580">
        <v>464.62</v>
      </c>
      <c r="M29" s="522">
        <v>566.79999999999995</v>
      </c>
      <c r="N29" s="538">
        <v>678.97</v>
      </c>
      <c r="O29" s="579"/>
    </row>
    <row r="30" spans="1:15" ht="77.25" customHeight="1" thickBot="1" x14ac:dyDescent="0.25">
      <c r="A30" s="574">
        <v>18</v>
      </c>
      <c r="B30" s="545" t="s">
        <v>210</v>
      </c>
      <c r="C30" s="383">
        <f t="shared" ref="C30:J30" si="6">C7+C13+C16+C20+C21+C28+C29</f>
        <v>1268.1659999999999</v>
      </c>
      <c r="D30" s="383">
        <f t="shared" si="6"/>
        <v>1225.3330000000001</v>
      </c>
      <c r="E30" s="383">
        <f t="shared" si="6"/>
        <v>232.35500000000002</v>
      </c>
      <c r="F30" s="383">
        <f t="shared" si="6"/>
        <v>1500.521</v>
      </c>
      <c r="G30" s="383">
        <f t="shared" si="6"/>
        <v>18807334.099999998</v>
      </c>
      <c r="H30" s="383">
        <f t="shared" si="6"/>
        <v>17871520.434999999</v>
      </c>
      <c r="I30" s="383">
        <f t="shared" si="6"/>
        <v>7185579.1299999999</v>
      </c>
      <c r="J30" s="546">
        <f t="shared" si="6"/>
        <v>25992913.23</v>
      </c>
      <c r="K30" s="547">
        <f t="shared" si="2"/>
        <v>1443.5493421951442</v>
      </c>
      <c r="L30" s="544">
        <v>869.82</v>
      </c>
      <c r="M30" s="544">
        <v>1269.33</v>
      </c>
      <c r="N30" s="548">
        <v>1865.18</v>
      </c>
      <c r="O30" s="572"/>
    </row>
    <row r="31" spans="1:15" ht="16.5" thickBot="1" x14ac:dyDescent="0.25">
      <c r="A31" s="18"/>
      <c r="B31" s="18"/>
      <c r="C31" s="21"/>
      <c r="D31" s="18"/>
      <c r="E31" s="18"/>
      <c r="F31" s="21"/>
      <c r="G31" s="21"/>
      <c r="H31" s="21"/>
      <c r="I31" s="21"/>
      <c r="J31" s="21"/>
    </row>
    <row r="32" spans="1:15" ht="16.5" thickBot="1" x14ac:dyDescent="0.3">
      <c r="A32" s="675" t="s">
        <v>0</v>
      </c>
      <c r="B32" s="676"/>
      <c r="C32" s="676"/>
      <c r="D32" s="676"/>
      <c r="E32" s="676"/>
      <c r="F32" s="676"/>
      <c r="G32" s="676"/>
      <c r="H32" s="676"/>
      <c r="I32" s="676"/>
      <c r="J32" s="676"/>
      <c r="K32" s="421"/>
      <c r="L32" s="450" t="s">
        <v>730</v>
      </c>
      <c r="M32" s="419"/>
      <c r="N32" s="420"/>
    </row>
    <row r="33" spans="1:13" x14ac:dyDescent="0.25">
      <c r="A33" s="684" t="s">
        <v>635</v>
      </c>
      <c r="B33" s="685"/>
      <c r="C33" s="685"/>
      <c r="D33" s="685"/>
      <c r="E33" s="685"/>
      <c r="F33" s="685"/>
      <c r="G33" s="685"/>
      <c r="H33" s="685"/>
      <c r="I33" s="685"/>
      <c r="J33" s="686"/>
    </row>
    <row r="34" spans="1:13" ht="50.25" customHeight="1" x14ac:dyDescent="0.2">
      <c r="B34" s="682" t="s">
        <v>581</v>
      </c>
      <c r="C34" s="682"/>
      <c r="D34" s="682"/>
      <c r="E34" s="682"/>
      <c r="F34" s="682"/>
      <c r="G34" s="682"/>
      <c r="H34" s="682"/>
      <c r="I34" s="682"/>
      <c r="J34" s="682"/>
      <c r="M34" s="579"/>
    </row>
    <row r="35" spans="1:13" x14ac:dyDescent="0.2">
      <c r="B35" s="228" t="s">
        <v>571</v>
      </c>
    </row>
    <row r="36" spans="1:13" x14ac:dyDescent="0.2">
      <c r="B36" s="228" t="s">
        <v>572</v>
      </c>
    </row>
    <row r="37" spans="1:13" x14ac:dyDescent="0.2">
      <c r="B37" s="228" t="s">
        <v>573</v>
      </c>
    </row>
  </sheetData>
  <mergeCells count="19">
    <mergeCell ref="A32:J32"/>
    <mergeCell ref="C3:F3"/>
    <mergeCell ref="H3:H4"/>
    <mergeCell ref="K3:K5"/>
    <mergeCell ref="B34:J34"/>
    <mergeCell ref="G3:G5"/>
    <mergeCell ref="I3:I5"/>
    <mergeCell ref="C4:C5"/>
    <mergeCell ref="A33:J33"/>
    <mergeCell ref="E4:E5"/>
    <mergeCell ref="F4:F5"/>
    <mergeCell ref="B3:B5"/>
    <mergeCell ref="A3:A5"/>
    <mergeCell ref="L3:L5"/>
    <mergeCell ref="M3:M5"/>
    <mergeCell ref="N3:N5"/>
    <mergeCell ref="A1:K1"/>
    <mergeCell ref="A2:K2"/>
    <mergeCell ref="J3:J5"/>
  </mergeCells>
  <phoneticPr fontId="0" type="noConversion"/>
  <printOptions gridLines="1"/>
  <pageMargins left="0.47244094488188981" right="0.31496062992125984" top="0.74803149606299213" bottom="0.39370078740157483" header="0.51181102362204722" footer="0.27559055118110237"/>
  <pageSetup paperSize="9"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I35" sqref="I35"/>
    </sheetView>
  </sheetViews>
  <sheetFormatPr defaultRowHeight="15.75" x14ac:dyDescent="0.2"/>
  <cols>
    <col min="1" max="1" width="5.5703125" style="24" customWidth="1"/>
    <col min="2" max="2" width="60.28515625" style="49" customWidth="1"/>
    <col min="3" max="3" width="14.7109375" style="19" customWidth="1"/>
    <col min="4" max="4" width="14" style="19" customWidth="1"/>
    <col min="5" max="5" width="15.85546875" style="19" customWidth="1"/>
    <col min="6" max="6" width="15.7109375" style="19" customWidth="1"/>
    <col min="7" max="7" width="19.140625" style="19" customWidth="1"/>
    <col min="8" max="8" width="18.7109375" style="19" customWidth="1"/>
    <col min="9" max="9" width="16.28515625" style="19" customWidth="1"/>
    <col min="10" max="10" width="17.7109375" style="19" bestFit="1" customWidth="1"/>
    <col min="11" max="11" width="13.28515625" style="19" customWidth="1"/>
    <col min="12" max="12" width="12.42578125" style="19" customWidth="1"/>
    <col min="13" max="13" width="9.7109375" style="19" customWidth="1"/>
    <col min="14" max="14" width="9" style="19" customWidth="1"/>
    <col min="15" max="15" width="8.7109375" style="19" customWidth="1"/>
    <col min="16" max="16" width="3.5703125" style="19" customWidth="1"/>
    <col min="17" max="18" width="3.85546875" style="19" customWidth="1"/>
    <col min="19" max="16384" width="9.140625" style="19"/>
  </cols>
  <sheetData>
    <row r="1" spans="1:15" ht="35.1" customHeight="1" thickBot="1" x14ac:dyDescent="0.25">
      <c r="A1" s="692" t="s">
        <v>757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spans="1:15" ht="35.450000000000003" customHeight="1" thickBot="1" x14ac:dyDescent="0.25">
      <c r="A2" s="629" t="s">
        <v>876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444" t="s">
        <v>651</v>
      </c>
      <c r="M2" s="623"/>
      <c r="N2" s="623"/>
      <c r="O2" s="623"/>
    </row>
    <row r="3" spans="1:15" ht="42.75" customHeight="1" x14ac:dyDescent="0.2">
      <c r="A3" s="688" t="s">
        <v>133</v>
      </c>
      <c r="B3" s="694" t="s">
        <v>791</v>
      </c>
      <c r="C3" s="677" t="s">
        <v>758</v>
      </c>
      <c r="D3" s="677"/>
      <c r="E3" s="677"/>
      <c r="F3" s="677"/>
      <c r="G3" s="677" t="s">
        <v>576</v>
      </c>
      <c r="H3" s="678" t="s">
        <v>194</v>
      </c>
      <c r="I3" s="677" t="s">
        <v>578</v>
      </c>
      <c r="J3" s="673" t="s">
        <v>579</v>
      </c>
      <c r="K3" s="696" t="s">
        <v>653</v>
      </c>
      <c r="L3" s="690" t="s">
        <v>652</v>
      </c>
      <c r="M3" s="662" t="s">
        <v>728</v>
      </c>
      <c r="N3" s="665" t="s">
        <v>792</v>
      </c>
      <c r="O3" s="668" t="s">
        <v>729</v>
      </c>
    </row>
    <row r="4" spans="1:15" ht="34.5" customHeight="1" x14ac:dyDescent="0.2">
      <c r="A4" s="689"/>
      <c r="B4" s="695"/>
      <c r="C4" s="683" t="s">
        <v>654</v>
      </c>
      <c r="D4" s="14" t="s">
        <v>194</v>
      </c>
      <c r="E4" s="683" t="s">
        <v>656</v>
      </c>
      <c r="F4" s="683" t="s">
        <v>657</v>
      </c>
      <c r="G4" s="683"/>
      <c r="H4" s="679"/>
      <c r="I4" s="683"/>
      <c r="J4" s="674"/>
      <c r="K4" s="696"/>
      <c r="L4" s="690"/>
      <c r="M4" s="663"/>
      <c r="N4" s="666"/>
      <c r="O4" s="669"/>
    </row>
    <row r="5" spans="1:15" s="75" customFormat="1" ht="63.75" thickBot="1" x14ac:dyDescent="0.25">
      <c r="A5" s="689"/>
      <c r="B5" s="695"/>
      <c r="C5" s="683"/>
      <c r="D5" s="98" t="s">
        <v>655</v>
      </c>
      <c r="E5" s="683"/>
      <c r="F5" s="683"/>
      <c r="G5" s="683"/>
      <c r="H5" s="14" t="s">
        <v>577</v>
      </c>
      <c r="I5" s="683"/>
      <c r="J5" s="674"/>
      <c r="K5" s="697"/>
      <c r="L5" s="691"/>
      <c r="M5" s="664"/>
      <c r="N5" s="667"/>
      <c r="O5" s="670"/>
    </row>
    <row r="6" spans="1:15" s="76" customFormat="1" ht="18" customHeight="1" thickBot="1" x14ac:dyDescent="0.25">
      <c r="A6" s="133"/>
      <c r="B6" s="64"/>
      <c r="C6" s="16" t="s">
        <v>180</v>
      </c>
      <c r="D6" s="16" t="s">
        <v>181</v>
      </c>
      <c r="E6" s="16" t="s">
        <v>182</v>
      </c>
      <c r="F6" s="16" t="s">
        <v>118</v>
      </c>
      <c r="G6" s="16" t="s">
        <v>183</v>
      </c>
      <c r="H6" s="16" t="s">
        <v>184</v>
      </c>
      <c r="I6" s="16" t="s">
        <v>185</v>
      </c>
      <c r="J6" s="321" t="s">
        <v>119</v>
      </c>
      <c r="K6" s="362" t="s">
        <v>633</v>
      </c>
      <c r="L6" s="445" t="s">
        <v>563</v>
      </c>
      <c r="M6" s="446"/>
      <c r="N6" s="446"/>
      <c r="O6" s="446"/>
    </row>
    <row r="7" spans="1:15" s="22" customFormat="1" x14ac:dyDescent="0.2">
      <c r="A7" s="573">
        <v>1</v>
      </c>
      <c r="B7" s="523" t="s">
        <v>177</v>
      </c>
      <c r="C7" s="504">
        <f>SUM(C8:C12)</f>
        <v>308.34099999999995</v>
      </c>
      <c r="D7" s="504">
        <f>SUM(D8:D12)</f>
        <v>307.62799999999999</v>
      </c>
      <c r="E7" s="504">
        <f>SUM(E8:E12)</f>
        <v>39.328999999999994</v>
      </c>
      <c r="F7" s="504">
        <f t="shared" ref="F7:F13" si="0">C7+E7</f>
        <v>347.66999999999996</v>
      </c>
      <c r="G7" s="504">
        <f>SUM(G8:G12)</f>
        <v>5089505.7999999989</v>
      </c>
      <c r="H7" s="504">
        <f>SUM(H8:H12)</f>
        <v>5073543.2399999993</v>
      </c>
      <c r="I7" s="504">
        <f>SUM(I8:I12)</f>
        <v>2289407.23</v>
      </c>
      <c r="J7" s="524">
        <f t="shared" ref="J7:J13" si="1">G7+I7</f>
        <v>7378913.0299999993</v>
      </c>
      <c r="K7" s="525">
        <f>IF(F7=0,0,J7/F7/12)</f>
        <v>1768.6582655008103</v>
      </c>
      <c r="L7" s="549">
        <f>IF('T6-Zamestnanci_a_mzdy'!F7-'T6a-Zamestnanci_a_mzdy (ženy)'!F7=0,0,('T6-Zamestnanci_a_mzdy'!J7-'T6a-Zamestnanci_a_mzdy (ženy)'!J7)/('T6-Zamestnanci_a_mzdy'!F7-'T6a-Zamestnanci_a_mzdy (ženy)'!F7)/12)</f>
        <v>2113.5149133144491</v>
      </c>
      <c r="M7" s="550">
        <v>1140.3699999999999</v>
      </c>
      <c r="N7" s="551">
        <v>1443.51</v>
      </c>
      <c r="O7" s="552">
        <v>2065.9299999999998</v>
      </c>
    </row>
    <row r="8" spans="1:15" ht="31.5" x14ac:dyDescent="0.2">
      <c r="A8" s="573">
        <v>2</v>
      </c>
      <c r="B8" s="529" t="s">
        <v>634</v>
      </c>
      <c r="C8" s="530">
        <v>18.428999999999998</v>
      </c>
      <c r="D8" s="530">
        <v>18.428999999999998</v>
      </c>
      <c r="E8" s="530">
        <v>7.867</v>
      </c>
      <c r="F8" s="504">
        <f t="shared" si="0"/>
        <v>26.295999999999999</v>
      </c>
      <c r="G8" s="530">
        <v>570623.14</v>
      </c>
      <c r="H8" s="530">
        <v>569206.06000000006</v>
      </c>
      <c r="I8" s="530">
        <v>433201.56</v>
      </c>
      <c r="J8" s="524">
        <f t="shared" si="1"/>
        <v>1003824.7</v>
      </c>
      <c r="K8" s="525">
        <f t="shared" ref="K8:K30" si="2">IF(F8=0,0,J8/F8/12)</f>
        <v>3181.1704568502178</v>
      </c>
      <c r="L8" s="549">
        <f>IF('T6-Zamestnanci_a_mzdy'!F8-'T6a-Zamestnanci_a_mzdy (ženy)'!F8=0,0,('T6-Zamestnanci_a_mzdy'!J8-'T6a-Zamestnanci_a_mzdy (ženy)'!J8)/('T6-Zamestnanci_a_mzdy'!F8-'T6a-Zamestnanci_a_mzdy (ženy)'!F8)/12)</f>
        <v>2946.0506720060716</v>
      </c>
      <c r="M8" s="553">
        <v>2398.1999999999998</v>
      </c>
      <c r="N8" s="554">
        <v>3324.46</v>
      </c>
      <c r="O8" s="555">
        <v>3781.68</v>
      </c>
    </row>
    <row r="9" spans="1:15" x14ac:dyDescent="0.2">
      <c r="A9" s="573">
        <v>3</v>
      </c>
      <c r="B9" s="529" t="s">
        <v>144</v>
      </c>
      <c r="C9" s="530">
        <v>62.012999999999998</v>
      </c>
      <c r="D9" s="530">
        <v>61.887</v>
      </c>
      <c r="E9" s="530">
        <v>7.7549999999999999</v>
      </c>
      <c r="F9" s="504">
        <f t="shared" si="0"/>
        <v>69.768000000000001</v>
      </c>
      <c r="G9" s="530">
        <v>1338952.6299999999</v>
      </c>
      <c r="H9" s="530">
        <v>1335592.17</v>
      </c>
      <c r="I9" s="530">
        <v>421347.09</v>
      </c>
      <c r="J9" s="524">
        <f t="shared" si="1"/>
        <v>1760299.72</v>
      </c>
      <c r="K9" s="525">
        <f t="shared" si="2"/>
        <v>2102.5634006039063</v>
      </c>
      <c r="L9" s="549">
        <f>IF('T6-Zamestnanci_a_mzdy'!F9-'T6a-Zamestnanci_a_mzdy (ženy)'!F9=0,0,('T6-Zamestnanci_a_mzdy'!J9-'T6a-Zamestnanci_a_mzdy (ženy)'!J9)/('T6-Zamestnanci_a_mzdy'!F9-'T6a-Zamestnanci_a_mzdy (ženy)'!F9)/12)</f>
        <v>2200.2383182433136</v>
      </c>
      <c r="M9" s="553">
        <v>1406.63</v>
      </c>
      <c r="N9" s="554">
        <v>1878.52</v>
      </c>
      <c r="O9" s="555">
        <v>2568.17</v>
      </c>
    </row>
    <row r="10" spans="1:15" x14ac:dyDescent="0.2">
      <c r="A10" s="573">
        <v>4</v>
      </c>
      <c r="B10" s="529" t="s">
        <v>145</v>
      </c>
      <c r="C10" s="530">
        <v>174.09</v>
      </c>
      <c r="D10" s="530">
        <v>173.577</v>
      </c>
      <c r="E10" s="530">
        <v>15.657</v>
      </c>
      <c r="F10" s="504">
        <f t="shared" si="0"/>
        <v>189.74700000000001</v>
      </c>
      <c r="G10" s="530">
        <v>2600457</v>
      </c>
      <c r="H10" s="530">
        <v>2590700.04</v>
      </c>
      <c r="I10" s="530">
        <v>999882.58</v>
      </c>
      <c r="J10" s="524">
        <f t="shared" si="1"/>
        <v>3600339.58</v>
      </c>
      <c r="K10" s="525">
        <f t="shared" si="2"/>
        <v>1581.2018020486928</v>
      </c>
      <c r="L10" s="549">
        <f>IF('T6-Zamestnanci_a_mzdy'!F10-'T6a-Zamestnanci_a_mzdy (ženy)'!F10=0,0,('T6-Zamestnanci_a_mzdy'!J10-'T6a-Zamestnanci_a_mzdy (ženy)'!J10)/('T6-Zamestnanci_a_mzdy'!F10-'T6a-Zamestnanci_a_mzdy (ženy)'!F10)/12)</f>
        <v>1735.2163716618952</v>
      </c>
      <c r="M10" s="553">
        <v>1115.48</v>
      </c>
      <c r="N10" s="554">
        <v>1393.68</v>
      </c>
      <c r="O10" s="555">
        <v>1858.5</v>
      </c>
    </row>
    <row r="11" spans="1:15" x14ac:dyDescent="0.2">
      <c r="A11" s="573">
        <v>5</v>
      </c>
      <c r="B11" s="529" t="s">
        <v>146</v>
      </c>
      <c r="C11" s="530">
        <v>48.832000000000001</v>
      </c>
      <c r="D11" s="530">
        <v>48.758000000000003</v>
      </c>
      <c r="E11" s="530">
        <v>1.9450000000000001</v>
      </c>
      <c r="F11" s="504">
        <f t="shared" si="0"/>
        <v>50.777000000000001</v>
      </c>
      <c r="G11" s="530">
        <v>512374.81</v>
      </c>
      <c r="H11" s="530">
        <v>510946.75</v>
      </c>
      <c r="I11" s="530">
        <v>359100.34</v>
      </c>
      <c r="J11" s="524">
        <f t="shared" si="1"/>
        <v>871475.15</v>
      </c>
      <c r="K11" s="525">
        <f t="shared" si="2"/>
        <v>1430.2327661474028</v>
      </c>
      <c r="L11" s="549">
        <f>IF('T6-Zamestnanci_a_mzdy'!F11-'T6a-Zamestnanci_a_mzdy (ženy)'!F11=0,0,('T6-Zamestnanci_a_mzdy'!J11-'T6a-Zamestnanci_a_mzdy (ženy)'!J11)/('T6-Zamestnanci_a_mzdy'!F11-'T6a-Zamestnanci_a_mzdy (ženy)'!F11)/12)</f>
        <v>1460.2557269459082</v>
      </c>
      <c r="M11" s="553">
        <v>1050.53</v>
      </c>
      <c r="N11" s="554">
        <v>1316.39</v>
      </c>
      <c r="O11" s="555">
        <v>1606.09</v>
      </c>
    </row>
    <row r="12" spans="1:15" x14ac:dyDescent="0.2">
      <c r="A12" s="573">
        <v>6</v>
      </c>
      <c r="B12" s="529" t="s">
        <v>147</v>
      </c>
      <c r="C12" s="530">
        <v>4.9770000000000003</v>
      </c>
      <c r="D12" s="530">
        <v>4.9770000000000003</v>
      </c>
      <c r="E12" s="530">
        <v>6.1050000000000004</v>
      </c>
      <c r="F12" s="504">
        <f t="shared" si="0"/>
        <v>11.082000000000001</v>
      </c>
      <c r="G12" s="530">
        <v>67098.22</v>
      </c>
      <c r="H12" s="530">
        <v>67098.22</v>
      </c>
      <c r="I12" s="530">
        <v>75875.66</v>
      </c>
      <c r="J12" s="524">
        <f t="shared" si="1"/>
        <v>142973.88</v>
      </c>
      <c r="K12" s="525">
        <f t="shared" si="2"/>
        <v>1075.1209168020212</v>
      </c>
      <c r="L12" s="549">
        <f>IF('T6-Zamestnanci_a_mzdy'!F12-'T6a-Zamestnanci_a_mzdy (ženy)'!F12=0,0,('T6-Zamestnanci_a_mzdy'!J12-'T6a-Zamestnanci_a_mzdy (ženy)'!J12)/('T6-Zamestnanci_a_mzdy'!F12-'T6a-Zamestnanci_a_mzdy (ženy)'!F12)/12)</f>
        <v>1073.345513963161</v>
      </c>
      <c r="M12" s="553">
        <v>953.68</v>
      </c>
      <c r="N12" s="554">
        <v>1001.51</v>
      </c>
      <c r="O12" s="555">
        <v>1081.0999999999999</v>
      </c>
    </row>
    <row r="13" spans="1:15" x14ac:dyDescent="0.2">
      <c r="A13" s="573">
        <v>7</v>
      </c>
      <c r="B13" s="523" t="s">
        <v>28</v>
      </c>
      <c r="C13" s="530">
        <v>125.57</v>
      </c>
      <c r="D13" s="530">
        <v>112.69799999999999</v>
      </c>
      <c r="E13" s="530">
        <v>9.3539999999999992</v>
      </c>
      <c r="F13" s="504">
        <f t="shared" si="0"/>
        <v>134.92399999999998</v>
      </c>
      <c r="G13" s="530">
        <v>1331076.3500000001</v>
      </c>
      <c r="H13" s="530">
        <v>1101376.8899999999</v>
      </c>
      <c r="I13" s="530">
        <v>201862.39999999999</v>
      </c>
      <c r="J13" s="524">
        <f t="shared" si="1"/>
        <v>1532938.75</v>
      </c>
      <c r="K13" s="525">
        <f t="shared" si="2"/>
        <v>946.79149620033024</v>
      </c>
      <c r="L13" s="549">
        <f>IF('T6-Zamestnanci_a_mzdy'!F13-'T6a-Zamestnanci_a_mzdy (ženy)'!F13=0,0,('T6-Zamestnanci_a_mzdy'!J13-'T6a-Zamestnanci_a_mzdy (ženy)'!J13)/('T6-Zamestnanci_a_mzdy'!F13-'T6a-Zamestnanci_a_mzdy (ženy)'!F13)/12)</f>
        <v>1273.8005043777853</v>
      </c>
      <c r="M13" s="553">
        <v>730.51</v>
      </c>
      <c r="N13" s="554">
        <v>897.69</v>
      </c>
      <c r="O13" s="555">
        <v>1136.8</v>
      </c>
    </row>
    <row r="14" spans="1:15" x14ac:dyDescent="0.2">
      <c r="A14" s="573"/>
      <c r="B14" s="529" t="s">
        <v>194</v>
      </c>
      <c r="C14" s="534"/>
      <c r="D14" s="534"/>
      <c r="E14" s="534"/>
      <c r="F14" s="535"/>
      <c r="G14" s="534"/>
      <c r="H14" s="534"/>
      <c r="I14" s="534"/>
      <c r="J14" s="536"/>
      <c r="K14" s="536"/>
      <c r="L14" s="556"/>
      <c r="M14" s="553"/>
      <c r="N14" s="554"/>
      <c r="O14" s="555"/>
    </row>
    <row r="15" spans="1:15" x14ac:dyDescent="0.2">
      <c r="A15" s="573">
        <v>8</v>
      </c>
      <c r="B15" s="529" t="s">
        <v>32</v>
      </c>
      <c r="C15" s="530">
        <v>12.664</v>
      </c>
      <c r="D15" s="530">
        <v>12.664</v>
      </c>
      <c r="E15" s="530">
        <v>1.45</v>
      </c>
      <c r="F15" s="504">
        <f t="shared" ref="F15:F21" si="3">C15+E15</f>
        <v>14.113999999999999</v>
      </c>
      <c r="G15" s="530">
        <v>148648.47</v>
      </c>
      <c r="H15" s="530">
        <v>148648.47</v>
      </c>
      <c r="I15" s="530">
        <v>30255.63</v>
      </c>
      <c r="J15" s="524">
        <f t="shared" ref="J15:J21" si="4">G15+I15</f>
        <v>178904.1</v>
      </c>
      <c r="K15" s="525">
        <f t="shared" si="2"/>
        <v>1056.3040243729631</v>
      </c>
      <c r="L15" s="549">
        <f>IF('T6-Zamestnanci_a_mzdy'!F15-'T6a-Zamestnanci_a_mzdy (ženy)'!F15=0,0,('T6-Zamestnanci_a_mzdy'!J15-'T6a-Zamestnanci_a_mzdy (ženy)'!J15)/('T6-Zamestnanci_a_mzdy'!F15-'T6a-Zamestnanci_a_mzdy (ženy)'!F15)/12)</f>
        <v>1424.1416595661588</v>
      </c>
      <c r="M15" s="553">
        <v>906.39</v>
      </c>
      <c r="N15" s="554">
        <v>1009.96</v>
      </c>
      <c r="O15" s="555">
        <v>1134.3499999999999</v>
      </c>
    </row>
    <row r="16" spans="1:15" x14ac:dyDescent="0.2">
      <c r="A16" s="573">
        <v>9</v>
      </c>
      <c r="B16" s="523" t="s">
        <v>178</v>
      </c>
      <c r="C16" s="504">
        <f>SUM(C17:C19)</f>
        <v>192.73700000000002</v>
      </c>
      <c r="D16" s="504">
        <f>SUM(D17:D19)</f>
        <v>188.56700000000001</v>
      </c>
      <c r="E16" s="504">
        <f>SUM(E17:E19)</f>
        <v>30.632999999999996</v>
      </c>
      <c r="F16" s="504">
        <f t="shared" si="3"/>
        <v>223.37</v>
      </c>
      <c r="G16" s="504">
        <f>SUM(G17:G19)</f>
        <v>2239666.87</v>
      </c>
      <c r="H16" s="504">
        <f>SUM(H17:H19)</f>
        <v>2177153.92</v>
      </c>
      <c r="I16" s="504">
        <f>SUM(I17:I19)</f>
        <v>596267.65</v>
      </c>
      <c r="J16" s="524">
        <f t="shared" si="4"/>
        <v>2835934.52</v>
      </c>
      <c r="K16" s="525">
        <f t="shared" si="2"/>
        <v>1058.0108191192492</v>
      </c>
      <c r="L16" s="549">
        <f>IF('T6-Zamestnanci_a_mzdy'!F16-'T6a-Zamestnanci_a_mzdy (ženy)'!F16=0,0,('T6-Zamestnanci_a_mzdy'!J16-'T6a-Zamestnanci_a_mzdy (ženy)'!J16)/('T6-Zamestnanci_a_mzdy'!F16-'T6a-Zamestnanci_a_mzdy (ženy)'!F16)/12)</f>
        <v>1331.0594461178023</v>
      </c>
      <c r="M16" s="553">
        <v>780.16</v>
      </c>
      <c r="N16" s="554">
        <v>933.36</v>
      </c>
      <c r="O16" s="555">
        <v>1154.44</v>
      </c>
    </row>
    <row r="17" spans="1:25" x14ac:dyDescent="0.2">
      <c r="A17" s="573">
        <v>10</v>
      </c>
      <c r="B17" s="529" t="s">
        <v>148</v>
      </c>
      <c r="C17" s="530">
        <v>73.147999999999996</v>
      </c>
      <c r="D17" s="530">
        <v>68.977999999999994</v>
      </c>
      <c r="E17" s="530">
        <v>2.9289999999999998</v>
      </c>
      <c r="F17" s="504">
        <f t="shared" si="3"/>
        <v>76.076999999999998</v>
      </c>
      <c r="G17" s="530">
        <v>965671.48</v>
      </c>
      <c r="H17" s="530">
        <v>904426.2</v>
      </c>
      <c r="I17" s="530">
        <v>53597.49</v>
      </c>
      <c r="J17" s="524">
        <f t="shared" si="4"/>
        <v>1019268.97</v>
      </c>
      <c r="K17" s="525">
        <f t="shared" si="2"/>
        <v>1116.4883057078134</v>
      </c>
      <c r="L17" s="549">
        <f>IF('T6-Zamestnanci_a_mzdy'!F17-'T6a-Zamestnanci_a_mzdy (ženy)'!F17=0,0,('T6-Zamestnanci_a_mzdy'!J17-'T6a-Zamestnanci_a_mzdy (ženy)'!J17)/('T6-Zamestnanci_a_mzdy'!F17-'T6a-Zamestnanci_a_mzdy (ženy)'!F17)/12)</f>
        <v>1445.6495774765719</v>
      </c>
      <c r="M17" s="553">
        <v>837.03</v>
      </c>
      <c r="N17" s="554">
        <v>952.53</v>
      </c>
      <c r="O17" s="555">
        <v>1159.55</v>
      </c>
    </row>
    <row r="18" spans="1:25" x14ac:dyDescent="0.2">
      <c r="A18" s="573">
        <v>11</v>
      </c>
      <c r="B18" s="529" t="s">
        <v>120</v>
      </c>
      <c r="C18" s="530">
        <v>68.120999999999995</v>
      </c>
      <c r="D18" s="530">
        <v>68.120999999999995</v>
      </c>
      <c r="E18" s="530">
        <v>16.523</v>
      </c>
      <c r="F18" s="504">
        <f t="shared" si="3"/>
        <v>84.643999999999991</v>
      </c>
      <c r="G18" s="530">
        <v>791806.62</v>
      </c>
      <c r="H18" s="530">
        <v>791795.65</v>
      </c>
      <c r="I18" s="537">
        <v>372059.51</v>
      </c>
      <c r="J18" s="524">
        <f t="shared" si="4"/>
        <v>1163866.1299999999</v>
      </c>
      <c r="K18" s="525">
        <f t="shared" si="2"/>
        <v>1145.844290991289</v>
      </c>
      <c r="L18" s="549">
        <f>IF('T6-Zamestnanci_a_mzdy'!F18-'T6a-Zamestnanci_a_mzdy (ženy)'!F18=0,0,('T6-Zamestnanci_a_mzdy'!J18-'T6a-Zamestnanci_a_mzdy (ženy)'!J18)/('T6-Zamestnanci_a_mzdy'!F18-'T6a-Zamestnanci_a_mzdy (ženy)'!F18)/12)</f>
        <v>1068.4814049586789</v>
      </c>
      <c r="M18" s="553">
        <v>820.24</v>
      </c>
      <c r="N18" s="554">
        <v>979.18</v>
      </c>
      <c r="O18" s="555">
        <v>1279.1099999999999</v>
      </c>
    </row>
    <row r="19" spans="1:25" x14ac:dyDescent="0.2">
      <c r="A19" s="573">
        <v>12</v>
      </c>
      <c r="B19" s="529" t="s">
        <v>102</v>
      </c>
      <c r="C19" s="530">
        <v>51.468000000000004</v>
      </c>
      <c r="D19" s="530">
        <v>51.468000000000004</v>
      </c>
      <c r="E19" s="530">
        <v>11.180999999999999</v>
      </c>
      <c r="F19" s="504">
        <f t="shared" si="3"/>
        <v>62.649000000000001</v>
      </c>
      <c r="G19" s="530">
        <v>482188.77</v>
      </c>
      <c r="H19" s="530">
        <v>480932.07</v>
      </c>
      <c r="I19" s="537">
        <v>170610.65</v>
      </c>
      <c r="J19" s="524">
        <f t="shared" si="4"/>
        <v>652799.42000000004</v>
      </c>
      <c r="K19" s="525">
        <f t="shared" si="2"/>
        <v>868.32913002069733</v>
      </c>
      <c r="L19" s="549">
        <f>IF('T6-Zamestnanci_a_mzdy'!F19-'T6a-Zamestnanci_a_mzdy (ženy)'!F19=0,0,('T6-Zamestnanci_a_mzdy'!J19-'T6a-Zamestnanci_a_mzdy (ženy)'!J19)/('T6-Zamestnanci_a_mzdy'!F19-'T6a-Zamestnanci_a_mzdy (ženy)'!F19)/12)</f>
        <v>1227.2603420843327</v>
      </c>
      <c r="M19" s="553">
        <v>726.97</v>
      </c>
      <c r="N19" s="554">
        <v>849.52</v>
      </c>
      <c r="O19" s="555">
        <v>960.75</v>
      </c>
    </row>
    <row r="20" spans="1:25" x14ac:dyDescent="0.2">
      <c r="A20" s="573">
        <v>13</v>
      </c>
      <c r="B20" s="523" t="s">
        <v>175</v>
      </c>
      <c r="C20" s="530">
        <v>53.881</v>
      </c>
      <c r="D20" s="530">
        <v>53.844999999999999</v>
      </c>
      <c r="E20" s="530">
        <v>11.551</v>
      </c>
      <c r="F20" s="504">
        <f t="shared" si="3"/>
        <v>65.432000000000002</v>
      </c>
      <c r="G20" s="530">
        <v>829787.28</v>
      </c>
      <c r="H20" s="530">
        <v>829045.22</v>
      </c>
      <c r="I20" s="537">
        <v>450269.3</v>
      </c>
      <c r="J20" s="524">
        <f t="shared" si="4"/>
        <v>1280056.58</v>
      </c>
      <c r="K20" s="525">
        <f t="shared" si="2"/>
        <v>1630.263199453886</v>
      </c>
      <c r="L20" s="549">
        <f>IF('T6-Zamestnanci_a_mzdy'!F20-'T6a-Zamestnanci_a_mzdy (ženy)'!F20=0,0,('T6-Zamestnanci_a_mzdy'!J20-'T6a-Zamestnanci_a_mzdy (ženy)'!J20)/('T6-Zamestnanci_a_mzdy'!F20-'T6a-Zamestnanci_a_mzdy (ženy)'!F20)/12)</f>
        <v>1770.6879763483284</v>
      </c>
      <c r="M20" s="553">
        <v>978.68</v>
      </c>
      <c r="N20" s="554">
        <v>1241.5999999999999</v>
      </c>
      <c r="O20" s="555">
        <v>1900</v>
      </c>
    </row>
    <row r="21" spans="1:25" ht="31.5" x14ac:dyDescent="0.2">
      <c r="A21" s="573">
        <v>14</v>
      </c>
      <c r="B21" s="523" t="s">
        <v>29</v>
      </c>
      <c r="C21" s="530">
        <v>72.036000000000001</v>
      </c>
      <c r="D21" s="530">
        <v>72.036000000000001</v>
      </c>
      <c r="E21" s="530">
        <v>16.946999999999999</v>
      </c>
      <c r="F21" s="504">
        <f t="shared" si="3"/>
        <v>88.983000000000004</v>
      </c>
      <c r="G21" s="530">
        <v>443103.2</v>
      </c>
      <c r="H21" s="530">
        <v>443103.2</v>
      </c>
      <c r="I21" s="537">
        <v>182507.94</v>
      </c>
      <c r="J21" s="524">
        <f t="shared" si="4"/>
        <v>625611.14</v>
      </c>
      <c r="K21" s="525">
        <f t="shared" si="2"/>
        <v>585.89013257213924</v>
      </c>
      <c r="L21" s="549">
        <f>IF('T6-Zamestnanci_a_mzdy'!F21-'T6a-Zamestnanci_a_mzdy (ženy)'!F21=0,0,('T6-Zamestnanci_a_mzdy'!J21-'T6a-Zamestnanci_a_mzdy (ženy)'!J21)/('T6-Zamestnanci_a_mzdy'!F21-'T6a-Zamestnanci_a_mzdy (ženy)'!F21)/12)</f>
        <v>829.76053768914437</v>
      </c>
      <c r="M21" s="581">
        <v>479.09</v>
      </c>
      <c r="N21" s="554">
        <v>525.95000000000005</v>
      </c>
      <c r="O21" s="555">
        <v>622.1</v>
      </c>
      <c r="Q21" s="698"/>
      <c r="R21" s="698"/>
      <c r="S21" s="698"/>
      <c r="T21" s="698"/>
      <c r="U21" s="698"/>
      <c r="V21" s="698"/>
      <c r="W21" s="698"/>
      <c r="X21" s="698"/>
      <c r="Y21" s="698"/>
    </row>
    <row r="22" spans="1:25" ht="47.25" x14ac:dyDescent="0.2">
      <c r="A22" s="573">
        <v>15</v>
      </c>
      <c r="B22" s="523" t="s">
        <v>209</v>
      </c>
      <c r="C22" s="504">
        <f>SUM(C23:C26)</f>
        <v>21.045000000000002</v>
      </c>
      <c r="D22" s="504">
        <f>SUM(D23:D26)</f>
        <v>21.045000000000002</v>
      </c>
      <c r="E22" s="504">
        <f>SUM(E23:E26)</f>
        <v>0</v>
      </c>
      <c r="F22" s="504">
        <f>SUM(F27:F27)</f>
        <v>0</v>
      </c>
      <c r="G22" s="504">
        <f>SUM(G23:G26)</f>
        <v>162131.17000000001</v>
      </c>
      <c r="H22" s="504">
        <f>SUM(H23:H26)</f>
        <v>162131.17000000001</v>
      </c>
      <c r="I22" s="504">
        <f>SUM(I23:I26)</f>
        <v>14520</v>
      </c>
      <c r="J22" s="524">
        <f>SUM(J23:J26)</f>
        <v>176651.17</v>
      </c>
      <c r="K22" s="525">
        <f t="shared" si="2"/>
        <v>0</v>
      </c>
      <c r="L22" s="549">
        <f>IF('T6-Zamestnanci_a_mzdy'!F22-'T6a-Zamestnanci_a_mzdy (ženy)'!F22=0,0,('T6-Zamestnanci_a_mzdy'!J22-'T6a-Zamestnanci_a_mzdy (ženy)'!J22)/('T6-Zamestnanci_a_mzdy'!F22-'T6a-Zamestnanci_a_mzdy (ženy)'!F22)/12)</f>
        <v>0</v>
      </c>
      <c r="M22" s="557" t="s">
        <v>202</v>
      </c>
      <c r="N22" s="557" t="s">
        <v>202</v>
      </c>
      <c r="O22" s="557" t="s">
        <v>202</v>
      </c>
    </row>
    <row r="23" spans="1:25" x14ac:dyDescent="0.2">
      <c r="A23" s="573" t="s">
        <v>176</v>
      </c>
      <c r="B23" s="539" t="s">
        <v>858</v>
      </c>
      <c r="C23" s="530">
        <v>20.545000000000002</v>
      </c>
      <c r="D23" s="530">
        <v>20.545000000000002</v>
      </c>
      <c r="E23" s="530"/>
      <c r="F23" s="504">
        <f t="shared" ref="F23:F29" si="5">C23+E23</f>
        <v>20.545000000000002</v>
      </c>
      <c r="G23" s="530">
        <v>156409.07</v>
      </c>
      <c r="H23" s="530">
        <v>156409.07</v>
      </c>
      <c r="I23" s="530">
        <v>14520</v>
      </c>
      <c r="J23" s="524">
        <f>G23+I23</f>
        <v>170929.07</v>
      </c>
      <c r="K23" s="525">
        <f t="shared" si="2"/>
        <v>693.31171412346885</v>
      </c>
      <c r="L23" s="549">
        <f>IF('T6-Zamestnanci_a_mzdy'!F23-'T6a-Zamestnanci_a_mzdy (ženy)'!F23=0,0,('T6-Zamestnanci_a_mzdy'!J23-'T6a-Zamestnanci_a_mzdy (ženy)'!J23)/('T6-Zamestnanci_a_mzdy'!F23-'T6a-Zamestnanci_a_mzdy (ženy)'!F23)/12)</f>
        <v>986.91595555555568</v>
      </c>
      <c r="M23" s="557" t="s">
        <v>202</v>
      </c>
      <c r="N23" s="557" t="s">
        <v>202</v>
      </c>
      <c r="O23" s="557" t="s">
        <v>202</v>
      </c>
    </row>
    <row r="24" spans="1:25" x14ac:dyDescent="0.2">
      <c r="A24" s="573" t="s">
        <v>267</v>
      </c>
      <c r="B24" s="539" t="s">
        <v>881</v>
      </c>
      <c r="C24" s="530">
        <v>0.5</v>
      </c>
      <c r="D24" s="530">
        <v>0.5</v>
      </c>
      <c r="E24" s="530"/>
      <c r="F24" s="504">
        <f t="shared" si="5"/>
        <v>0.5</v>
      </c>
      <c r="G24" s="530">
        <v>5722.1</v>
      </c>
      <c r="H24" s="530">
        <v>5722.1</v>
      </c>
      <c r="I24" s="530"/>
      <c r="J24" s="524">
        <f>G24+I24</f>
        <v>5722.1</v>
      </c>
      <c r="K24" s="525">
        <f t="shared" si="2"/>
        <v>953.68333333333339</v>
      </c>
      <c r="L24" s="549">
        <f>IF('[3]T6-Zamestnanci_a_mzdy'!F24-'[3]T6a-Zamestnanci_a_mzdy (ženy)'!F24=0,0,('[3]T6-Zamestnanci_a_mzdy'!J24-'[3]T6a-Zamestnanci_a_mzdy (ženy)'!J24)/('[3]T6-Zamestnanci_a_mzdy'!F24-'[3]T6a-Zamestnanci_a_mzdy (ženy)'!F24)/12)</f>
        <v>0</v>
      </c>
      <c r="M24" s="557" t="s">
        <v>202</v>
      </c>
      <c r="N24" s="557" t="s">
        <v>202</v>
      </c>
      <c r="O24" s="557" t="s">
        <v>202</v>
      </c>
    </row>
    <row r="25" spans="1:25" x14ac:dyDescent="0.2">
      <c r="A25" s="573" t="s">
        <v>268</v>
      </c>
      <c r="B25" s="539"/>
      <c r="C25" s="530"/>
      <c r="D25" s="530"/>
      <c r="E25" s="530"/>
      <c r="F25" s="504">
        <f t="shared" si="5"/>
        <v>0</v>
      </c>
      <c r="G25" s="530"/>
      <c r="H25" s="530"/>
      <c r="I25" s="530"/>
      <c r="J25" s="524">
        <f>G25+I25</f>
        <v>0</v>
      </c>
      <c r="K25" s="525">
        <f t="shared" si="2"/>
        <v>0</v>
      </c>
      <c r="L25" s="549">
        <f>IF('T6-Zamestnanci_a_mzdy'!F25-'T6a-Zamestnanci_a_mzdy (ženy)'!F25=0,0,('T6-Zamestnanci_a_mzdy'!J25-'T6a-Zamestnanci_a_mzdy (ženy)'!J25)/('T6-Zamestnanci_a_mzdy'!F25-'T6a-Zamestnanci_a_mzdy (ženy)'!F25)/12)</f>
        <v>0</v>
      </c>
      <c r="M25" s="557" t="s">
        <v>202</v>
      </c>
      <c r="N25" s="557" t="s">
        <v>202</v>
      </c>
      <c r="O25" s="557" t="s">
        <v>202</v>
      </c>
    </row>
    <row r="26" spans="1:25" ht="16.5" customHeight="1" x14ac:dyDescent="0.2">
      <c r="A26" s="573" t="s">
        <v>269</v>
      </c>
      <c r="B26" s="539"/>
      <c r="C26" s="530"/>
      <c r="D26" s="530"/>
      <c r="E26" s="530"/>
      <c r="F26" s="504">
        <f t="shared" si="5"/>
        <v>0</v>
      </c>
      <c r="G26" s="530"/>
      <c r="H26" s="530"/>
      <c r="I26" s="530"/>
      <c r="J26" s="524">
        <f>G26+I26</f>
        <v>0</v>
      </c>
      <c r="K26" s="525">
        <f t="shared" si="2"/>
        <v>0</v>
      </c>
      <c r="L26" s="549">
        <f>IF('T6-Zamestnanci_a_mzdy'!F26-'T6a-Zamestnanci_a_mzdy (ženy)'!F26=0,0,('T6-Zamestnanci_a_mzdy'!J26-'T6a-Zamestnanci_a_mzdy (ženy)'!J26)/('T6-Zamestnanci_a_mzdy'!F26-'T6a-Zamestnanci_a_mzdy (ženy)'!F26)/12)</f>
        <v>0</v>
      </c>
      <c r="M26" s="557" t="s">
        <v>202</v>
      </c>
      <c r="N26" s="557" t="s">
        <v>202</v>
      </c>
      <c r="O26" s="557" t="s">
        <v>202</v>
      </c>
    </row>
    <row r="27" spans="1:25" x14ac:dyDescent="0.2">
      <c r="A27" s="573"/>
      <c r="B27" s="529"/>
      <c r="C27" s="534"/>
      <c r="D27" s="534"/>
      <c r="E27" s="534"/>
      <c r="F27" s="535">
        <f t="shared" si="5"/>
        <v>0</v>
      </c>
      <c r="G27" s="534"/>
      <c r="H27" s="534"/>
      <c r="I27" s="534"/>
      <c r="J27" s="536"/>
      <c r="K27" s="536"/>
      <c r="L27" s="556"/>
      <c r="M27" s="553"/>
      <c r="N27" s="554"/>
      <c r="O27" s="555"/>
    </row>
    <row r="28" spans="1:25" x14ac:dyDescent="0.2">
      <c r="A28" s="573">
        <v>16</v>
      </c>
      <c r="B28" s="523" t="s">
        <v>30</v>
      </c>
      <c r="C28" s="530">
        <v>27.527000000000001</v>
      </c>
      <c r="D28" s="530">
        <v>27.527000000000001</v>
      </c>
      <c r="E28" s="530">
        <v>11.967000000000001</v>
      </c>
      <c r="F28" s="504">
        <f t="shared" si="5"/>
        <v>39.494</v>
      </c>
      <c r="G28" s="530">
        <v>219734.7</v>
      </c>
      <c r="H28" s="530">
        <v>219734.7</v>
      </c>
      <c r="I28" s="530">
        <v>122035.11</v>
      </c>
      <c r="J28" s="524">
        <f>G28+I28</f>
        <v>341769.81</v>
      </c>
      <c r="K28" s="525">
        <f t="shared" si="2"/>
        <v>721.14289512330981</v>
      </c>
      <c r="L28" s="549">
        <f>IF('T6-Zamestnanci_a_mzdy'!F28-'T6a-Zamestnanci_a_mzdy (ženy)'!F28=0,0,('T6-Zamestnanci_a_mzdy'!J28-'T6a-Zamestnanci_a_mzdy (ženy)'!J28)/('T6-Zamestnanci_a_mzdy'!F28-'T6a-Zamestnanci_a_mzdy (ženy)'!F28)/12)</f>
        <v>834.52611097162901</v>
      </c>
      <c r="M28" s="553">
        <v>560.28</v>
      </c>
      <c r="N28" s="554">
        <v>623.1</v>
      </c>
      <c r="O28" s="555">
        <v>876.48</v>
      </c>
    </row>
    <row r="29" spans="1:25" x14ac:dyDescent="0.2">
      <c r="A29" s="573">
        <v>17</v>
      </c>
      <c r="B29" s="523" t="s">
        <v>31</v>
      </c>
      <c r="C29" s="530"/>
      <c r="D29" s="530"/>
      <c r="E29" s="530">
        <v>39.817</v>
      </c>
      <c r="F29" s="504">
        <f t="shared" si="5"/>
        <v>39.817</v>
      </c>
      <c r="G29" s="530">
        <v>33800</v>
      </c>
      <c r="H29" s="530">
        <v>33800</v>
      </c>
      <c r="I29" s="530">
        <v>263741.84000000003</v>
      </c>
      <c r="J29" s="524">
        <f>G29+I29</f>
        <v>297541.84000000003</v>
      </c>
      <c r="K29" s="525">
        <f t="shared" si="2"/>
        <v>622.72781307816592</v>
      </c>
      <c r="L29" s="549">
        <f>IF('T6-Zamestnanci_a_mzdy'!F29-'T6a-Zamestnanci_a_mzdy (ženy)'!F29=0,0,('T6-Zamestnanci_a_mzdy'!J29-'T6a-Zamestnanci_a_mzdy (ženy)'!J29)/('T6-Zamestnanci_a_mzdy'!F29-'T6a-Zamestnanci_a_mzdy (ženy)'!F29)/12)</f>
        <v>606.69725189445751</v>
      </c>
      <c r="M29" s="581">
        <v>474.36</v>
      </c>
      <c r="N29" s="554">
        <v>563.38</v>
      </c>
      <c r="O29" s="555">
        <v>678.97</v>
      </c>
      <c r="Q29" s="698"/>
      <c r="R29" s="698"/>
      <c r="S29" s="698"/>
      <c r="T29" s="698"/>
      <c r="U29" s="698"/>
      <c r="V29" s="698"/>
      <c r="W29" s="698"/>
      <c r="X29" s="698"/>
      <c r="Y29" s="698"/>
    </row>
    <row r="30" spans="1:25" ht="16.5" thickBot="1" x14ac:dyDescent="0.25">
      <c r="A30" s="574">
        <v>18</v>
      </c>
      <c r="B30" s="545" t="s">
        <v>210</v>
      </c>
      <c r="C30" s="383">
        <f t="shared" ref="C30:J30" si="6">C7+C13+C16+C20+C21+C28+C29</f>
        <v>780.09199999999987</v>
      </c>
      <c r="D30" s="383">
        <f t="shared" si="6"/>
        <v>762.30100000000016</v>
      </c>
      <c r="E30" s="383">
        <f t="shared" si="6"/>
        <v>159.59799999999998</v>
      </c>
      <c r="F30" s="383">
        <f t="shared" si="6"/>
        <v>939.68999999999994</v>
      </c>
      <c r="G30" s="383">
        <f t="shared" si="6"/>
        <v>10186674.199999997</v>
      </c>
      <c r="H30" s="383">
        <f t="shared" si="6"/>
        <v>9877757.1699999981</v>
      </c>
      <c r="I30" s="383">
        <f t="shared" si="6"/>
        <v>4106091.4699999993</v>
      </c>
      <c r="J30" s="546">
        <f t="shared" si="6"/>
        <v>14292765.67</v>
      </c>
      <c r="K30" s="547">
        <f t="shared" si="2"/>
        <v>1267.5071628232006</v>
      </c>
      <c r="L30" s="558">
        <f>IF('T6-Zamestnanci_a_mzdy'!F30-'T6a-Zamestnanci_a_mzdy (ženy)'!F30=0,0,('T6-Zamestnanci_a_mzdy'!J30-'T6a-Zamestnanci_a_mzdy (ženy)'!J30)/('T6-Zamestnanci_a_mzdy'!F30-'T6a-Zamestnanci_a_mzdy (ženy)'!F30)/12)</f>
        <v>1738.5135569657643</v>
      </c>
      <c r="M30" s="559">
        <v>727.37</v>
      </c>
      <c r="N30" s="560">
        <v>1113.3499999999999</v>
      </c>
      <c r="O30" s="561">
        <v>1600.86</v>
      </c>
    </row>
    <row r="31" spans="1:25" x14ac:dyDescent="0.2">
      <c r="A31" s="18"/>
      <c r="B31" s="18"/>
      <c r="C31" s="21"/>
      <c r="D31" s="18"/>
      <c r="E31" s="18"/>
      <c r="F31" s="21"/>
      <c r="G31" s="21"/>
      <c r="H31" s="21"/>
      <c r="I31" s="21"/>
      <c r="J31" s="21"/>
      <c r="L31" s="447"/>
      <c r="M31" s="447"/>
      <c r="N31" s="447"/>
      <c r="O31" s="447"/>
    </row>
    <row r="32" spans="1:25" x14ac:dyDescent="0.25">
      <c r="A32" s="675" t="s">
        <v>0</v>
      </c>
      <c r="B32" s="676"/>
      <c r="C32" s="676"/>
      <c r="D32" s="676"/>
      <c r="E32" s="676"/>
      <c r="F32" s="676"/>
      <c r="G32" s="676"/>
      <c r="H32" s="676"/>
      <c r="I32" s="676"/>
      <c r="J32" s="699"/>
      <c r="L32" s="447"/>
      <c r="M32" s="447"/>
      <c r="N32" s="447"/>
      <c r="O32" s="447"/>
    </row>
    <row r="33" spans="1:15" x14ac:dyDescent="0.25">
      <c r="A33" s="684" t="s">
        <v>635</v>
      </c>
      <c r="B33" s="685"/>
      <c r="C33" s="685"/>
      <c r="D33" s="685"/>
      <c r="E33" s="685"/>
      <c r="F33" s="685"/>
      <c r="G33" s="685"/>
      <c r="H33" s="685"/>
      <c r="I33" s="685"/>
      <c r="J33" s="686"/>
      <c r="L33" s="447"/>
      <c r="M33" s="448" t="s">
        <v>730</v>
      </c>
      <c r="N33" s="447"/>
      <c r="O33" s="447"/>
    </row>
    <row r="34" spans="1:15" ht="50.25" customHeight="1" x14ac:dyDescent="0.2">
      <c r="B34" s="682" t="s">
        <v>581</v>
      </c>
      <c r="C34" s="682"/>
      <c r="D34" s="682"/>
      <c r="E34" s="682"/>
      <c r="F34" s="682"/>
      <c r="G34" s="682"/>
      <c r="H34" s="682"/>
      <c r="I34" s="682"/>
      <c r="J34" s="682"/>
      <c r="L34" s="447"/>
      <c r="M34" s="447"/>
      <c r="N34" s="579"/>
      <c r="O34" s="447"/>
    </row>
    <row r="35" spans="1:15" x14ac:dyDescent="0.2">
      <c r="B35" s="228" t="s">
        <v>571</v>
      </c>
      <c r="L35" s="447"/>
      <c r="M35" s="447"/>
      <c r="N35" s="447"/>
      <c r="O35" s="447"/>
    </row>
    <row r="36" spans="1:15" x14ac:dyDescent="0.2">
      <c r="B36" s="228" t="s">
        <v>572</v>
      </c>
    </row>
    <row r="37" spans="1:15" x14ac:dyDescent="0.2">
      <c r="B37" s="228" t="s">
        <v>573</v>
      </c>
    </row>
  </sheetData>
  <mergeCells count="22">
    <mergeCell ref="Q21:Y21"/>
    <mergeCell ref="Q29:Y29"/>
    <mergeCell ref="N3:N5"/>
    <mergeCell ref="O3:O5"/>
    <mergeCell ref="A32:J32"/>
    <mergeCell ref="F4:F5"/>
    <mergeCell ref="A33:J33"/>
    <mergeCell ref="L3:L5"/>
    <mergeCell ref="B34:J34"/>
    <mergeCell ref="M3:M5"/>
    <mergeCell ref="A1:K1"/>
    <mergeCell ref="A2:K2"/>
    <mergeCell ref="A3:A5"/>
    <mergeCell ref="B3:B5"/>
    <mergeCell ref="C3:F3"/>
    <mergeCell ref="G3:G5"/>
    <mergeCell ref="H3:H4"/>
    <mergeCell ref="I3:I5"/>
    <mergeCell ref="J3:J5"/>
    <mergeCell ref="K3:K5"/>
    <mergeCell ref="C4:C5"/>
    <mergeCell ref="E4:E5"/>
  </mergeCells>
  <printOptions gridLines="1"/>
  <pageMargins left="0.2" right="0.19" top="0.8" bottom="0.39370078740157483" header="0.51181102362204722" footer="0.27559055118110237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RowHeight="15.75" x14ac:dyDescent="0.25"/>
  <cols>
    <col min="1" max="1" width="9.140625" style="166"/>
    <col min="2" max="2" width="69.7109375" style="166" customWidth="1"/>
    <col min="3" max="3" width="18" style="166" bestFit="1" customWidth="1"/>
    <col min="4" max="4" width="20.28515625" style="166" bestFit="1" customWidth="1"/>
    <col min="5" max="5" width="26.42578125" style="166" customWidth="1"/>
    <col min="6" max="6" width="15.42578125" style="166" customWidth="1"/>
    <col min="7" max="7" width="12" style="166" customWidth="1"/>
    <col min="8" max="16384" width="9.140625" style="166"/>
  </cols>
  <sheetData>
    <row r="1" spans="1:14" ht="39.75" customHeight="1" thickBot="1" x14ac:dyDescent="0.3">
      <c r="A1" s="700" t="s">
        <v>806</v>
      </c>
      <c r="B1" s="701"/>
      <c r="C1" s="701"/>
      <c r="D1" s="701"/>
      <c r="E1" s="702"/>
    </row>
    <row r="2" spans="1:14" ht="44.25" customHeight="1" thickBot="1" x14ac:dyDescent="0.3">
      <c r="A2" s="703" t="s">
        <v>877</v>
      </c>
      <c r="B2" s="704"/>
      <c r="C2" s="704"/>
      <c r="D2" s="704"/>
      <c r="E2" s="705"/>
    </row>
    <row r="3" spans="1:14" ht="65.25" customHeight="1" x14ac:dyDescent="0.25">
      <c r="A3" s="402" t="s">
        <v>133</v>
      </c>
      <c r="B3" s="403" t="s">
        <v>215</v>
      </c>
      <c r="C3" s="404" t="s">
        <v>708</v>
      </c>
      <c r="D3" s="404" t="s">
        <v>788</v>
      </c>
      <c r="E3" s="405" t="s">
        <v>605</v>
      </c>
    </row>
    <row r="4" spans="1:14" ht="26.25" customHeight="1" x14ac:dyDescent="0.25">
      <c r="A4" s="406"/>
      <c r="B4" s="401"/>
      <c r="C4" s="400" t="s">
        <v>180</v>
      </c>
      <c r="D4" s="400" t="s">
        <v>181</v>
      </c>
      <c r="E4" s="407" t="s">
        <v>707</v>
      </c>
      <c r="G4" s="587"/>
    </row>
    <row r="5" spans="1:14" ht="35.25" customHeight="1" thickBot="1" x14ac:dyDescent="0.3">
      <c r="A5" s="411">
        <v>1</v>
      </c>
      <c r="B5" s="412" t="s">
        <v>789</v>
      </c>
      <c r="C5" s="563">
        <v>2235744.81</v>
      </c>
      <c r="D5" s="563">
        <f>26908.5+500</f>
        <v>27408.5</v>
      </c>
      <c r="E5" s="564">
        <f>C5+D5</f>
        <v>2263153.31</v>
      </c>
      <c r="F5" s="562"/>
      <c r="G5" s="586"/>
      <c r="H5" s="587"/>
    </row>
    <row r="6" spans="1:14" ht="78.75" customHeight="1" thickTop="1" x14ac:dyDescent="0.25">
      <c r="A6" s="409">
        <v>2</v>
      </c>
      <c r="B6" s="410" t="s">
        <v>790</v>
      </c>
      <c r="C6" s="414">
        <v>2874</v>
      </c>
      <c r="D6" s="414">
        <v>49</v>
      </c>
      <c r="E6" s="415">
        <f>C6+D6</f>
        <v>2923</v>
      </c>
      <c r="F6" s="707"/>
      <c r="G6" s="708"/>
      <c r="H6" s="708"/>
      <c r="I6" s="708"/>
      <c r="J6" s="708"/>
      <c r="K6" s="708"/>
      <c r="L6" s="708"/>
      <c r="M6" s="708"/>
      <c r="N6" s="708"/>
    </row>
    <row r="7" spans="1:14" ht="31.5" customHeight="1" thickBot="1" x14ac:dyDescent="0.3">
      <c r="A7" s="275">
        <v>3</v>
      </c>
      <c r="B7" s="408" t="s">
        <v>272</v>
      </c>
      <c r="C7" s="413">
        <f>IF(C6=0,0,+C5/C6)</f>
        <v>777.92094989561588</v>
      </c>
      <c r="D7" s="413">
        <f t="shared" ref="D7:E7" si="0">IF(D6=0,0,+D5/D6)</f>
        <v>559.35714285714289</v>
      </c>
      <c r="E7" s="416">
        <f t="shared" si="0"/>
        <v>774.25703386931241</v>
      </c>
      <c r="F7" s="587"/>
    </row>
    <row r="9" spans="1:14" ht="51" customHeight="1" x14ac:dyDescent="0.25">
      <c r="A9" s="706" t="s">
        <v>781</v>
      </c>
      <c r="B9" s="706"/>
    </row>
    <row r="11" spans="1:14" x14ac:dyDescent="0.25">
      <c r="A11" s="418" t="s">
        <v>725</v>
      </c>
    </row>
    <row r="12" spans="1:14" x14ac:dyDescent="0.25">
      <c r="A12" s="166" t="s">
        <v>726</v>
      </c>
    </row>
  </sheetData>
  <mergeCells count="4">
    <mergeCell ref="A1:E1"/>
    <mergeCell ref="A2:E2"/>
    <mergeCell ref="A9:B9"/>
    <mergeCell ref="F6:N6"/>
  </mergeCells>
  <pageMargins left="0.45" right="0.33" top="0.74803149606299213" bottom="0.74803149606299213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indexed="42"/>
    <pageSetUpPr fitToPage="1"/>
  </sheetPr>
  <dimension ref="A1:H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2" sqref="I12"/>
    </sheetView>
  </sheetViews>
  <sheetFormatPr defaultRowHeight="15.75" x14ac:dyDescent="0.2"/>
  <cols>
    <col min="1" max="1" width="8.140625" style="19" customWidth="1"/>
    <col min="2" max="2" width="93.140625" style="71" customWidth="1"/>
    <col min="3" max="3" width="17.28515625" style="19" customWidth="1"/>
    <col min="4" max="4" width="17.140625" style="19" customWidth="1"/>
    <col min="5" max="5" width="15.7109375" style="19" customWidth="1"/>
    <col min="6" max="6" width="18" style="19" customWidth="1"/>
    <col min="7" max="7" width="7.5703125" style="19" customWidth="1"/>
    <col min="8" max="16384" width="9.140625" style="19"/>
  </cols>
  <sheetData>
    <row r="1" spans="1:8" ht="50.1" customHeight="1" thickBot="1" x14ac:dyDescent="0.25">
      <c r="A1" s="715" t="s">
        <v>759</v>
      </c>
      <c r="B1" s="716"/>
      <c r="C1" s="716"/>
      <c r="D1" s="716"/>
      <c r="E1" s="716"/>
      <c r="F1" s="717"/>
      <c r="G1" s="168"/>
      <c r="H1" s="24"/>
    </row>
    <row r="2" spans="1:8" ht="36.75" customHeight="1" x14ac:dyDescent="0.2">
      <c r="A2" s="629" t="s">
        <v>876</v>
      </c>
      <c r="B2" s="726"/>
      <c r="C2" s="727" t="s">
        <v>629</v>
      </c>
      <c r="D2" s="727"/>
      <c r="E2" s="727"/>
      <c r="F2" s="728"/>
      <c r="G2" s="169"/>
    </row>
    <row r="3" spans="1:8" ht="33" customHeight="1" x14ac:dyDescent="0.2">
      <c r="A3" s="724" t="s">
        <v>133</v>
      </c>
      <c r="B3" s="722" t="s">
        <v>215</v>
      </c>
      <c r="C3" s="718">
        <v>2017</v>
      </c>
      <c r="D3" s="719"/>
      <c r="E3" s="720">
        <v>2018</v>
      </c>
      <c r="F3" s="721"/>
      <c r="G3" s="169"/>
    </row>
    <row r="4" spans="1:8" ht="69" customHeight="1" x14ac:dyDescent="0.2">
      <c r="A4" s="725"/>
      <c r="B4" s="723"/>
      <c r="C4" s="113" t="s">
        <v>580</v>
      </c>
      <c r="D4" s="113" t="s">
        <v>121</v>
      </c>
      <c r="E4" s="113" t="s">
        <v>580</v>
      </c>
      <c r="F4" s="29" t="s">
        <v>170</v>
      </c>
      <c r="G4" s="169"/>
    </row>
    <row r="5" spans="1:8" x14ac:dyDescent="0.2">
      <c r="A5" s="119"/>
      <c r="B5" s="92"/>
      <c r="C5" s="36" t="s">
        <v>180</v>
      </c>
      <c r="D5" s="36" t="s">
        <v>181</v>
      </c>
      <c r="E5" s="89" t="s">
        <v>182</v>
      </c>
      <c r="F5" s="99" t="s">
        <v>188</v>
      </c>
      <c r="G5" s="169"/>
    </row>
    <row r="6" spans="1:8" ht="38.25" customHeight="1" x14ac:dyDescent="0.2">
      <c r="A6" s="31">
        <v>1</v>
      </c>
      <c r="B6" s="93" t="s">
        <v>33</v>
      </c>
      <c r="C6" s="147">
        <v>865055</v>
      </c>
      <c r="D6" s="148" t="s">
        <v>202</v>
      </c>
      <c r="E6" s="147">
        <v>746220</v>
      </c>
      <c r="F6" s="149" t="s">
        <v>202</v>
      </c>
      <c r="G6" s="169"/>
    </row>
    <row r="7" spans="1:8" ht="38.25" customHeight="1" x14ac:dyDescent="0.2">
      <c r="A7" s="31">
        <f>A6+1</f>
        <v>2</v>
      </c>
      <c r="B7" s="93" t="s">
        <v>225</v>
      </c>
      <c r="C7" s="148" t="s">
        <v>202</v>
      </c>
      <c r="D7" s="78">
        <v>4189</v>
      </c>
      <c r="E7" s="148" t="s">
        <v>202</v>
      </c>
      <c r="F7" s="83">
        <v>2835</v>
      </c>
      <c r="G7" s="169"/>
    </row>
    <row r="8" spans="1:8" ht="38.25" customHeight="1" x14ac:dyDescent="0.2">
      <c r="A8" s="31">
        <f>A7+1</f>
        <v>3</v>
      </c>
      <c r="B8" s="93" t="s">
        <v>596</v>
      </c>
      <c r="C8" s="148" t="s">
        <v>202</v>
      </c>
      <c r="D8" s="78">
        <v>493</v>
      </c>
      <c r="E8" s="148" t="s">
        <v>202</v>
      </c>
      <c r="F8" s="83">
        <v>1132</v>
      </c>
      <c r="G8" s="169"/>
    </row>
    <row r="9" spans="1:8" ht="35.25" customHeight="1" x14ac:dyDescent="0.2">
      <c r="A9" s="31">
        <f>A8+1</f>
        <v>4</v>
      </c>
      <c r="B9" s="68" t="s">
        <v>557</v>
      </c>
      <c r="C9" s="147">
        <v>279928.81</v>
      </c>
      <c r="D9" s="148" t="s">
        <v>202</v>
      </c>
      <c r="E9" s="150">
        <f>+C11</f>
        <v>206862.81000000006</v>
      </c>
      <c r="F9" s="149" t="s">
        <v>202</v>
      </c>
      <c r="G9" s="169"/>
    </row>
    <row r="10" spans="1:8" ht="37.5" customHeight="1" x14ac:dyDescent="0.2">
      <c r="A10" s="31">
        <f>A9+1</f>
        <v>5</v>
      </c>
      <c r="B10" s="68" t="s">
        <v>593</v>
      </c>
      <c r="C10" s="147">
        <v>791989</v>
      </c>
      <c r="D10" s="148" t="s">
        <v>202</v>
      </c>
      <c r="E10" s="151">
        <v>706889</v>
      </c>
      <c r="F10" s="149" t="s">
        <v>202</v>
      </c>
      <c r="G10" s="169"/>
    </row>
    <row r="11" spans="1:8" ht="33" customHeight="1" x14ac:dyDescent="0.2">
      <c r="A11" s="31">
        <v>6</v>
      </c>
      <c r="B11" s="68" t="s">
        <v>155</v>
      </c>
      <c r="C11" s="152">
        <f>+C9+C10-C6</f>
        <v>206862.81000000006</v>
      </c>
      <c r="D11" s="148" t="s">
        <v>202</v>
      </c>
      <c r="E11" s="150">
        <f>+E9+E10-E6</f>
        <v>167531.81000000006</v>
      </c>
      <c r="F11" s="149" t="s">
        <v>202</v>
      </c>
      <c r="G11" s="169"/>
    </row>
    <row r="12" spans="1:8" ht="36" customHeight="1" thickBot="1" x14ac:dyDescent="0.25">
      <c r="A12" s="32">
        <v>7</v>
      </c>
      <c r="B12" s="81" t="s">
        <v>156</v>
      </c>
      <c r="C12" s="153">
        <f>IF(C6=0,0,C6/D7)</f>
        <v>206.50632609214611</v>
      </c>
      <c r="D12" s="154" t="s">
        <v>202</v>
      </c>
      <c r="E12" s="153">
        <f>IF(E6=0,0,E6/F7)</f>
        <v>263.21693121693124</v>
      </c>
      <c r="F12" s="155" t="s">
        <v>202</v>
      </c>
      <c r="G12" s="169"/>
    </row>
    <row r="13" spans="1:8" x14ac:dyDescent="0.2">
      <c r="B13" s="21"/>
      <c r="G13" s="169"/>
    </row>
    <row r="14" spans="1:8" x14ac:dyDescent="0.2">
      <c r="A14" s="709" t="s">
        <v>38</v>
      </c>
      <c r="B14" s="710"/>
      <c r="C14" s="710"/>
      <c r="D14" s="710"/>
      <c r="E14" s="710"/>
      <c r="F14" s="711"/>
      <c r="G14" s="169"/>
    </row>
    <row r="15" spans="1:8" x14ac:dyDescent="0.2">
      <c r="A15" s="712" t="s">
        <v>255</v>
      </c>
      <c r="B15" s="713"/>
      <c r="C15" s="713"/>
      <c r="D15" s="713"/>
      <c r="E15" s="713"/>
      <c r="F15" s="714"/>
      <c r="G15" s="169"/>
    </row>
  </sheetData>
  <mergeCells count="9">
    <mergeCell ref="A14:F14"/>
    <mergeCell ref="A15:F15"/>
    <mergeCell ref="A1:F1"/>
    <mergeCell ref="C3:D3"/>
    <mergeCell ref="E3:F3"/>
    <mergeCell ref="B3:B4"/>
    <mergeCell ref="A3:A4"/>
    <mergeCell ref="A2:B2"/>
    <mergeCell ref="C2:F2"/>
  </mergeCells>
  <phoneticPr fontId="0" type="noConversion"/>
  <pageMargins left="0.5" right="0.39" top="0.98425196850393704" bottom="0.98425196850393704" header="0.51181102362204722" footer="0.51181102362204722"/>
  <pageSetup paperSize="9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9B052-6B58-40C2-8603-8925FD4879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8802F3-CAF1-414B-986B-3ACC0176C017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C4697A-4BC5-4925-A0CC-1EECB6356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21</vt:i4>
      </vt:variant>
    </vt:vector>
  </HeadingPairs>
  <TitlesOfParts>
    <vt:vector size="44" baseType="lpstr">
      <vt:lpstr>T1-Dotácie podľa DZ</vt:lpstr>
      <vt:lpstr>T2-Ostatné dot mimo MŠ SR</vt:lpstr>
      <vt:lpstr>T3-Výnosy</vt:lpstr>
      <vt:lpstr>T4-Výnosy zo školného</vt:lpstr>
      <vt:lpstr>T5 - Analýza nákladov</vt:lpstr>
      <vt:lpstr>T6-Zamestnanci_a_mzdy</vt:lpstr>
      <vt:lpstr>T6a-Zamestnanci_a_mzdy (ženy)</vt:lpstr>
      <vt:lpstr>T7_Doktorandi </vt:lpstr>
      <vt:lpstr>T8-Soc_štipendiá</vt:lpstr>
      <vt:lpstr>T9_ŠD </vt:lpstr>
      <vt:lpstr>T10-ŠJ </vt:lpstr>
      <vt:lpstr>T11-Zdroje KV</vt:lpstr>
      <vt:lpstr>T12-KV</vt:lpstr>
      <vt:lpstr>T13-Fondy</vt:lpstr>
      <vt:lpstr>T16 - Štruktúra hotovosti</vt:lpstr>
      <vt:lpstr>T17-Dotácie zo ŠF EU</vt:lpstr>
      <vt:lpstr>T18-Ostatné dotacie z kap MŠ SR</vt:lpstr>
      <vt:lpstr>T19-Štip_ z vlastných </vt:lpstr>
      <vt:lpstr>T20_motivačné štipendiá_nová</vt:lpstr>
      <vt:lpstr>T21-štruktúra_384</vt:lpstr>
      <vt:lpstr>T22_Výnosy_soc_oblasť</vt:lpstr>
      <vt:lpstr>T23_Náklady_soc_oblasť</vt:lpstr>
      <vt:lpstr>T24__Aktíva</vt:lpstr>
      <vt:lpstr>'T10-ŠJ '!Oblasť_tlače</vt:lpstr>
      <vt:lpstr>'T11-Zdroje KV'!Oblasť_tlače</vt:lpstr>
      <vt:lpstr>'T12-KV'!Oblasť_tlače</vt:lpstr>
      <vt:lpstr>'T13-Fondy'!Oblasť_tlače</vt:lpstr>
      <vt:lpstr>'T16 - Štruktúra hotovosti'!Oblasť_tlače</vt:lpstr>
      <vt:lpstr>'T17-Dotácie zo ŠF EU'!Oblasť_tlače</vt:lpstr>
      <vt:lpstr>'T18-Ostatné dotacie z kap MŠ SR'!Oblasť_tlače</vt:lpstr>
      <vt:lpstr>'T19-Štip_ z vlastných '!Oblasť_tlače</vt:lpstr>
      <vt:lpstr>'T1-Dotácie podľa DZ'!Oblasť_tlače</vt:lpstr>
      <vt:lpstr>'T20_motivačné štipendiá_nová'!Oblasť_tlače</vt:lpstr>
      <vt:lpstr>'T21-štruktúra_384'!Oblasť_tlače</vt:lpstr>
      <vt:lpstr>T22_Výnosy_soc_oblasť!Oblasť_tlače</vt:lpstr>
      <vt:lpstr>T23_Náklady_soc_oblasť!Oblasť_tlače</vt:lpstr>
      <vt:lpstr>'T3-Výnosy'!Oblasť_tlače</vt:lpstr>
      <vt:lpstr>'T4-Výnosy zo školného'!Oblasť_tlače</vt:lpstr>
      <vt:lpstr>'T5 - Analýza nákladov'!Oblasť_tlače</vt:lpstr>
      <vt:lpstr>'T6a-Zamestnanci_a_mzdy (ženy)'!Oblasť_tlače</vt:lpstr>
      <vt:lpstr>'T6-Zamestnanci_a_mzdy'!Oblasť_tlače</vt:lpstr>
      <vt:lpstr>'T7_Doktorandi '!Oblasť_tlače</vt:lpstr>
      <vt:lpstr>'T8-Soc_štipendiá'!Oblasť_tlače</vt:lpstr>
      <vt:lpstr>'T9_ŠD '!Oblasť_tlače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creator>Viest</dc:creator>
  <cp:lastModifiedBy>Používateľ systému Windows</cp:lastModifiedBy>
  <cp:lastPrinted>2019-05-20T11:13:14Z</cp:lastPrinted>
  <dcterms:created xsi:type="dcterms:W3CDTF">2002-06-05T18:53:25Z</dcterms:created>
  <dcterms:modified xsi:type="dcterms:W3CDTF">2019-06-03T10:51:51Z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